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520" yWindow="2560" windowWidth="17860" windowHeight="15100" tabRatio="1000" firstSheet="19" activeTab="20"/>
  </bookViews>
  <sheets>
    <sheet name="EVGraphMonth" sheetId="1" r:id="rId1"/>
    <sheet name="ECEst" sheetId="2" r:id="rId2"/>
    <sheet name="StateSum" sheetId="3" r:id="rId3"/>
    <sheet name="Alabama (9)" sheetId="4" r:id="rId4"/>
    <sheet name="Alaska (3)" sheetId="5" r:id="rId5"/>
    <sheet name="Arizona (10)" sheetId="6" r:id="rId6"/>
    <sheet name="Arkansas (6)" sheetId="7" r:id="rId7"/>
    <sheet name="California (55)" sheetId="8" r:id="rId8"/>
    <sheet name="Colorado (9)" sheetId="9" r:id="rId9"/>
    <sheet name="Connecticut (7)" sheetId="10" r:id="rId10"/>
    <sheet name="Delaware (3)" sheetId="11" r:id="rId11"/>
    <sheet name="DC (3)" sheetId="12" r:id="rId12"/>
    <sheet name="Florida (27)" sheetId="13" r:id="rId13"/>
    <sheet name="Georgia (15)" sheetId="14" r:id="rId14"/>
    <sheet name="Hawaii (4)" sheetId="15" r:id="rId15"/>
    <sheet name="Idaho (4)" sheetId="16" r:id="rId16"/>
    <sheet name="Illinois (21)" sheetId="17" r:id="rId17"/>
    <sheet name="Indiana (11)" sheetId="18" r:id="rId18"/>
    <sheet name="Iowa (7)" sheetId="19" r:id="rId19"/>
    <sheet name="Kansas (6)" sheetId="20" r:id="rId20"/>
    <sheet name="Kentucky (8)" sheetId="21" r:id="rId21"/>
    <sheet name="Louisiana (9)" sheetId="22" r:id="rId22"/>
    <sheet name="Maine (4)" sheetId="23" r:id="rId23"/>
    <sheet name="Maryland (10)" sheetId="24" r:id="rId24"/>
    <sheet name="Massachussetts (12)" sheetId="25" r:id="rId25"/>
    <sheet name="Michigan (17)" sheetId="26" r:id="rId26"/>
    <sheet name="Minnesota (10)" sheetId="27" r:id="rId27"/>
    <sheet name="Mississippi (6)" sheetId="28" r:id="rId28"/>
    <sheet name="Missouri (11)" sheetId="29" r:id="rId29"/>
    <sheet name="Montana (3)" sheetId="30" r:id="rId30"/>
    <sheet name="Nebraska (5)" sheetId="31" r:id="rId31"/>
    <sheet name="Nevada (5)" sheetId="32" r:id="rId32"/>
    <sheet name="New Hampshire (4)" sheetId="33" r:id="rId33"/>
    <sheet name="New Jersey (15)" sheetId="34" r:id="rId34"/>
    <sheet name="New Mexico (5)" sheetId="35" r:id="rId35"/>
    <sheet name="New York (31)" sheetId="36" r:id="rId36"/>
    <sheet name="North Carolina (15)" sheetId="37" r:id="rId37"/>
    <sheet name="North Dakota (3)" sheetId="38" r:id="rId38"/>
    <sheet name="Ohio (20)" sheetId="39" r:id="rId39"/>
    <sheet name="Oklahoma (7)" sheetId="40" r:id="rId40"/>
    <sheet name="Oregon (7)" sheetId="41" r:id="rId41"/>
    <sheet name="Pennsylvania (21)" sheetId="42" r:id="rId42"/>
    <sheet name="Rhode Island (4)" sheetId="43" r:id="rId43"/>
    <sheet name="South Carolina (8)" sheetId="44" r:id="rId44"/>
    <sheet name="South Dakota (3)" sheetId="45" r:id="rId45"/>
    <sheet name="Tennessee (11)" sheetId="46" r:id="rId46"/>
    <sheet name="Texas (34)" sheetId="47" r:id="rId47"/>
    <sheet name="Utah (5)" sheetId="48" r:id="rId48"/>
    <sheet name="Vermont (3)" sheetId="49" r:id="rId49"/>
    <sheet name="Virginia (13)" sheetId="50" r:id="rId50"/>
    <sheet name="Washington (11)" sheetId="51" r:id="rId51"/>
    <sheet name="West Virginia (5)" sheetId="52" r:id="rId52"/>
    <sheet name="Wisconsin (10)" sheetId="53" r:id="rId53"/>
    <sheet name="Wyoming (3)" sheetId="54" r:id="rId54"/>
  </sheets>
  <definedNames/>
  <calcPr fullCalcOnLoad="1"/>
</workbook>
</file>

<file path=xl/sharedStrings.xml><?xml version="1.0" encoding="utf-8"?>
<sst xmlns="http://schemas.openxmlformats.org/spreadsheetml/2006/main" count="2113" uniqueCount="317">
  <si>
    <t>Reuters/Zog</t>
  </si>
  <si>
    <t>StCloud</t>
  </si>
  <si>
    <t>USoAlab</t>
  </si>
  <si>
    <t>Times/Bloom</t>
  </si>
  <si>
    <t>APG</t>
  </si>
  <si>
    <t>SELI</t>
  </si>
  <si>
    <t>MarketD</t>
  </si>
  <si>
    <t>Harstad</t>
  </si>
  <si>
    <t>WWL/Loyola</t>
  </si>
  <si>
    <t>UW</t>
  </si>
  <si>
    <t>Uwash</t>
  </si>
  <si>
    <t>OhioU</t>
  </si>
  <si>
    <t>Register</t>
  </si>
  <si>
    <t>Alaska (3)</t>
  </si>
  <si>
    <t>Arkansas (6)</t>
  </si>
  <si>
    <t>ObamaBest</t>
  </si>
  <si>
    <t>McCainBest</t>
  </si>
  <si>
    <t>Colorado (9)</t>
  </si>
  <si>
    <t>DC (3)</t>
  </si>
  <si>
    <t>Cnewport</t>
  </si>
  <si>
    <t>IndyStar</t>
  </si>
  <si>
    <t>Rassmussen</t>
  </si>
  <si>
    <t>NatJournal</t>
  </si>
  <si>
    <t>PortTrib</t>
  </si>
  <si>
    <t>POS</t>
  </si>
  <si>
    <t>Iadv</t>
  </si>
  <si>
    <t>Uwisc</t>
  </si>
  <si>
    <t>IvanMoore</t>
  </si>
  <si>
    <t>Connecticut (7)</t>
  </si>
  <si>
    <t>Delaware (3)</t>
  </si>
  <si>
    <t>McCain Strong</t>
  </si>
  <si>
    <t>Obama Strong</t>
  </si>
  <si>
    <t>Kitchens</t>
  </si>
  <si>
    <t>Baselice</t>
  </si>
  <si>
    <t>Field</t>
  </si>
  <si>
    <t>Georgia (15)</t>
  </si>
  <si>
    <t>Rsrh2000</t>
  </si>
  <si>
    <t>WSOC</t>
  </si>
  <si>
    <t>WPRNorb</t>
  </si>
  <si>
    <t>Hawaii (4)</t>
  </si>
  <si>
    <t>Idaho (4)</t>
  </si>
  <si>
    <t>Zogby Int</t>
  </si>
  <si>
    <t>PPIC</t>
  </si>
  <si>
    <t>Illinois (21)</t>
  </si>
  <si>
    <t>Indiana (11)</t>
  </si>
  <si>
    <t>UofIowa</t>
  </si>
  <si>
    <t xml:space="preserve"> </t>
  </si>
  <si>
    <t>Louisiana (9)</t>
  </si>
  <si>
    <t>InsideAdv</t>
  </si>
  <si>
    <t>Maine (4)</t>
  </si>
  <si>
    <t>Maryland (10)</t>
  </si>
  <si>
    <t>McCainECLean</t>
  </si>
  <si>
    <t>NatJ</t>
  </si>
  <si>
    <t>FairDick</t>
  </si>
  <si>
    <t>DemCorp</t>
  </si>
  <si>
    <t>ObamaECLean</t>
  </si>
  <si>
    <t>McCain Lean</t>
  </si>
  <si>
    <t>Marist</t>
  </si>
  <si>
    <t>Rsch2000</t>
  </si>
  <si>
    <t>ARG</t>
  </si>
  <si>
    <t>Obama Lean</t>
  </si>
  <si>
    <t>Michigan (17)</t>
  </si>
  <si>
    <t>Mississippi (6)</t>
  </si>
  <si>
    <t>Montana (3)</t>
  </si>
  <si>
    <t>VCU</t>
  </si>
  <si>
    <t>Nebraska (5)</t>
  </si>
  <si>
    <t>Nevada (5)</t>
  </si>
  <si>
    <t>DemCorps</t>
  </si>
  <si>
    <t>Time/CNN</t>
  </si>
  <si>
    <t>UTU</t>
  </si>
  <si>
    <t>StarTrib</t>
  </si>
  <si>
    <t>AmerView</t>
  </si>
  <si>
    <t>New Hampshire (4)</t>
  </si>
  <si>
    <t>Riley Res</t>
  </si>
  <si>
    <t>X</t>
  </si>
  <si>
    <t>North Dakota (3)</t>
  </si>
  <si>
    <t>Oklahoma (7)</t>
  </si>
  <si>
    <t>Cooper</t>
  </si>
  <si>
    <t>South Carolina (8)</t>
  </si>
  <si>
    <t>South Dakota (3)</t>
  </si>
  <si>
    <t>Texas (34)</t>
  </si>
  <si>
    <t>DailyKos</t>
  </si>
  <si>
    <t>AyresMcH</t>
  </si>
  <si>
    <t>Utah (5)</t>
  </si>
  <si>
    <t>RIColl</t>
  </si>
  <si>
    <t>Strat360</t>
  </si>
  <si>
    <t>Vermont (3)</t>
  </si>
  <si>
    <t>ILI</t>
  </si>
  <si>
    <t>West Virginia (5)</t>
  </si>
  <si>
    <t>MasonDix</t>
  </si>
  <si>
    <t>Wyoming (3)</t>
  </si>
  <si>
    <t>U Cnt Ark</t>
  </si>
  <si>
    <t>UnivCinn</t>
  </si>
  <si>
    <t>PPP</t>
  </si>
  <si>
    <t>Fair Dick</t>
  </si>
  <si>
    <t>Muhlenberg</t>
  </si>
  <si>
    <t>Date Added</t>
  </si>
  <si>
    <t>Poll Date</t>
  </si>
  <si>
    <t>PollDate</t>
  </si>
  <si>
    <t>Des Moines</t>
  </si>
  <si>
    <t>Rsrch 2000</t>
  </si>
  <si>
    <t>Susquehana</t>
  </si>
  <si>
    <t>UNH</t>
  </si>
  <si>
    <t>StratVis</t>
  </si>
  <si>
    <t>Date</t>
  </si>
  <si>
    <t>ObamaECSolid</t>
  </si>
  <si>
    <t>ObamaECWeak</t>
  </si>
  <si>
    <t>Hamilton</t>
  </si>
  <si>
    <t>McCainECSolid</t>
  </si>
  <si>
    <t>CNN/Time</t>
  </si>
  <si>
    <t>Hill Rsrh</t>
  </si>
  <si>
    <t>GregSmith</t>
  </si>
  <si>
    <t>McCainECWeak</t>
  </si>
  <si>
    <t>McCain</t>
  </si>
  <si>
    <t>Obama</t>
  </si>
  <si>
    <t>McCainAvg</t>
  </si>
  <si>
    <t>ObamaAvg</t>
  </si>
  <si>
    <t>Missouri (11)</t>
  </si>
  <si>
    <t>McCain Weak</t>
  </si>
  <si>
    <t>Fabrizio</t>
  </si>
  <si>
    <t>Obama Weak</t>
  </si>
  <si>
    <t>Ohio (20)</t>
  </si>
  <si>
    <t>ColumbusDi</t>
  </si>
  <si>
    <t>O-M</t>
  </si>
  <si>
    <t>Iowa (7)</t>
  </si>
  <si>
    <t>Poll</t>
  </si>
  <si>
    <t>SurveyUSA</t>
  </si>
  <si>
    <t>UWMilw</t>
  </si>
  <si>
    <t>Dispatch</t>
  </si>
  <si>
    <t>DakotaW</t>
  </si>
  <si>
    <t>ColeHS</t>
  </si>
  <si>
    <t>TulsaWorld</t>
  </si>
  <si>
    <t>MPR</t>
  </si>
  <si>
    <t>Selzer</t>
  </si>
  <si>
    <t>Rrch2000</t>
  </si>
  <si>
    <t>Wisconsin (10)</t>
  </si>
  <si>
    <t>Hays</t>
  </si>
  <si>
    <t>Minnesota (10)</t>
  </si>
  <si>
    <t>Washington (11)</t>
  </si>
  <si>
    <t>RockyMtnNws</t>
  </si>
  <si>
    <t>ASU/Cronkite</t>
  </si>
  <si>
    <t>N Ariz U</t>
  </si>
  <si>
    <t>Arizona (10)</t>
  </si>
  <si>
    <t>Kentucky (8)</t>
  </si>
  <si>
    <t>Suffolk</t>
  </si>
  <si>
    <t>Orion</t>
  </si>
  <si>
    <t>Uark</t>
  </si>
  <si>
    <t>MSU</t>
  </si>
  <si>
    <t>Winthrop</t>
  </si>
  <si>
    <t>TargetPt</t>
  </si>
  <si>
    <t>New Mexico (5)</t>
  </si>
  <si>
    <t>Kansas (6)</t>
  </si>
  <si>
    <t>InsiderAdv</t>
  </si>
  <si>
    <t>Dartmouth</t>
  </si>
  <si>
    <t>BRC Ariz</t>
  </si>
  <si>
    <t>TimesKTLA</t>
  </si>
  <si>
    <t>Wpost</t>
  </si>
  <si>
    <t>WashPoll</t>
  </si>
  <si>
    <t>NAU</t>
  </si>
  <si>
    <t>Uconn</t>
  </si>
  <si>
    <t>California (55)</t>
  </si>
  <si>
    <t>New York (31)</t>
  </si>
  <si>
    <t>EPIC</t>
  </si>
  <si>
    <t>Massachussetts (12)</t>
  </si>
  <si>
    <t>Alabama (9)</t>
  </si>
  <si>
    <t>RenoGaz</t>
  </si>
  <si>
    <t>TvPoll</t>
  </si>
  <si>
    <t>MIRS</t>
  </si>
  <si>
    <t>Oregon (7)</t>
  </si>
  <si>
    <t>Rasmussen</t>
  </si>
  <si>
    <t>Brown Univ</t>
  </si>
  <si>
    <t>Press Reg</t>
  </si>
  <si>
    <t>QuadCity</t>
  </si>
  <si>
    <t>MRG</t>
  </si>
  <si>
    <t>NewWest</t>
  </si>
  <si>
    <t>NBC/Mason</t>
  </si>
  <si>
    <t>North Carolina (15)</t>
  </si>
  <si>
    <t>Ucinn</t>
  </si>
  <si>
    <t>Hoffman</t>
  </si>
  <si>
    <t>Pennsylvania (21)</t>
  </si>
  <si>
    <t>F&amp;M</t>
  </si>
  <si>
    <t>Win Line</t>
  </si>
  <si>
    <t>CNN</t>
  </si>
  <si>
    <t>Alabama</t>
  </si>
  <si>
    <t>VoterCons</t>
  </si>
  <si>
    <t>Kansas</t>
  </si>
  <si>
    <t>Kentucky</t>
  </si>
  <si>
    <t>New Mexico</t>
  </si>
  <si>
    <t>Ohio</t>
  </si>
  <si>
    <t>CSRC</t>
  </si>
  <si>
    <t>Massachussetts</t>
  </si>
  <si>
    <t>Downs</t>
  </si>
  <si>
    <t>Elon</t>
  </si>
  <si>
    <t>R2K</t>
  </si>
  <si>
    <t>Minnesota</t>
  </si>
  <si>
    <t>North Carolina</t>
  </si>
  <si>
    <t>Siena</t>
  </si>
  <si>
    <t>Pennsylvania</t>
  </si>
  <si>
    <t>Virginia</t>
  </si>
  <si>
    <t>California</t>
  </si>
  <si>
    <t>Iowa</t>
  </si>
  <si>
    <t>New York</t>
  </si>
  <si>
    <t>Rhode Island</t>
  </si>
  <si>
    <t>Missouri</t>
  </si>
  <si>
    <t>Temple</t>
  </si>
  <si>
    <t>ERIC</t>
  </si>
  <si>
    <t>Mason-Dix</t>
  </si>
  <si>
    <t>War Room</t>
  </si>
  <si>
    <t>Rsrch2000</t>
  </si>
  <si>
    <t>Oregon</t>
  </si>
  <si>
    <t>Washington</t>
  </si>
  <si>
    <t>Wisconsin</t>
  </si>
  <si>
    <t>No Polls</t>
  </si>
  <si>
    <t>Tarrance</t>
  </si>
  <si>
    <t>Fox/Rasm</t>
  </si>
  <si>
    <t>Alaska</t>
  </si>
  <si>
    <t>Arizona</t>
  </si>
  <si>
    <t>Arkansas</t>
  </si>
  <si>
    <t>Colorado</t>
  </si>
  <si>
    <t>Connecticut</t>
  </si>
  <si>
    <t>Forum</t>
  </si>
  <si>
    <t>Datamar</t>
  </si>
  <si>
    <t>WestChest</t>
  </si>
  <si>
    <t>Monmouth</t>
  </si>
  <si>
    <t>Delaware</t>
  </si>
  <si>
    <t>DC</t>
  </si>
  <si>
    <t>Florida</t>
  </si>
  <si>
    <t>WPRI</t>
  </si>
  <si>
    <t>Georgia</t>
  </si>
  <si>
    <t>Hawaii</t>
  </si>
  <si>
    <t>Idaho</t>
  </si>
  <si>
    <t>Illinois</t>
  </si>
  <si>
    <t>Indiana</t>
  </si>
  <si>
    <t>GSG</t>
  </si>
  <si>
    <t>HeraldLeader</t>
  </si>
  <si>
    <t>SouthernMed</t>
  </si>
  <si>
    <t>Gonzales</t>
  </si>
  <si>
    <t>UT</t>
  </si>
  <si>
    <t>PollUpdate</t>
  </si>
  <si>
    <t>Zogby</t>
  </si>
  <si>
    <t>TargetPoint</t>
  </si>
  <si>
    <t>PanAtl</t>
  </si>
  <si>
    <t>PolUpdate</t>
  </si>
  <si>
    <t>Bergen</t>
  </si>
  <si>
    <t>Louisiana</t>
  </si>
  <si>
    <t>StPete</t>
  </si>
  <si>
    <t>Maine</t>
  </si>
  <si>
    <t>Maryland</t>
  </si>
  <si>
    <t>Magelian</t>
  </si>
  <si>
    <t>ChrisNew</t>
  </si>
  <si>
    <t>Star Tribune</t>
  </si>
  <si>
    <t>SM&amp;O</t>
  </si>
  <si>
    <t>Howey</t>
  </si>
  <si>
    <t>Michigan</t>
  </si>
  <si>
    <t>Mississippi</t>
  </si>
  <si>
    <t>Montana</t>
  </si>
  <si>
    <t>Nebraska</t>
  </si>
  <si>
    <t>Nevada</t>
  </si>
  <si>
    <t>New Hampshire</t>
  </si>
  <si>
    <t>New Jersey</t>
  </si>
  <si>
    <t>North Dakota</t>
  </si>
  <si>
    <t>Pulsar</t>
  </si>
  <si>
    <t>Quinn</t>
  </si>
  <si>
    <t>Ciruli</t>
  </si>
  <si>
    <t>SRBI</t>
  </si>
  <si>
    <t>Oklahoma</t>
  </si>
  <si>
    <t>South Carolina</t>
  </si>
  <si>
    <t>South Dakota</t>
  </si>
  <si>
    <t>Tennessee</t>
  </si>
  <si>
    <t>Texas</t>
  </si>
  <si>
    <t>Utah</t>
  </si>
  <si>
    <t>Vermont</t>
  </si>
  <si>
    <t>Frederick</t>
  </si>
  <si>
    <t>CritInsight</t>
  </si>
  <si>
    <t>Post-Disp</t>
  </si>
  <si>
    <t>West Virginia</t>
  </si>
  <si>
    <t>Wyoming</t>
  </si>
  <si>
    <t>EC</t>
  </si>
  <si>
    <t>Virginia (13)</t>
  </si>
  <si>
    <t>Rhode Island (4)</t>
  </si>
  <si>
    <t>Quinnipiac</t>
  </si>
  <si>
    <t>Civitas</t>
  </si>
  <si>
    <t>MTSU</t>
  </si>
  <si>
    <t>SelzerStar</t>
  </si>
  <si>
    <t>NYT</t>
  </si>
  <si>
    <t>Deseret</t>
  </si>
  <si>
    <t>Cronkite</t>
  </si>
  <si>
    <t>Blankenship</t>
  </si>
  <si>
    <t>GHY</t>
  </si>
  <si>
    <t>InsAdv</t>
  </si>
  <si>
    <t>Grove</t>
  </si>
  <si>
    <t>Macro</t>
  </si>
  <si>
    <t>Politico</t>
  </si>
  <si>
    <t>ChicTrib</t>
  </si>
  <si>
    <t>WPR</t>
  </si>
  <si>
    <t>Rainmaker</t>
  </si>
  <si>
    <t>Big10</t>
  </si>
  <si>
    <t>MasonDixon</t>
  </si>
  <si>
    <t>Texas Lyceum</t>
  </si>
  <si>
    <t>Tennessee (11)</t>
  </si>
  <si>
    <t>Florida (27)</t>
  </si>
  <si>
    <t>Mason-Dixon</t>
  </si>
  <si>
    <t>PostDisp</t>
  </si>
  <si>
    <t>NBC</t>
  </si>
  <si>
    <t>ABCPost</t>
  </si>
  <si>
    <t>Elway</t>
  </si>
  <si>
    <t>AlbJ</t>
  </si>
  <si>
    <t>ABC/Post</t>
  </si>
  <si>
    <t>FLChamb</t>
  </si>
  <si>
    <t>Mellman</t>
  </si>
  <si>
    <t>RckyMtnNws</t>
  </si>
  <si>
    <t>MyersGrove</t>
  </si>
  <si>
    <t>BostonGlobe</t>
  </si>
  <si>
    <t>Zimmer</t>
  </si>
  <si>
    <t>OpFact</t>
  </si>
  <si>
    <t>Moore</t>
  </si>
  <si>
    <t>New Jersey (15)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</si>
</sst>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_);\(0\)"/>
    <numFmt numFmtId="166" formatCode="0;[Red]0"/>
  </numFmts>
  <fonts count="3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75"/>
      <name val="Verdana"/>
      <family val="0"/>
    </font>
    <font>
      <b/>
      <sz val="8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sz val="12"/>
      <color indexed="27"/>
      <name val="Verdana"/>
      <family val="0"/>
    </font>
    <font>
      <b/>
      <sz val="13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2" fillId="12" borderId="0" applyNumberFormat="0" applyBorder="0" applyAlignment="0" applyProtection="0"/>
    <xf numFmtId="0" fontId="16" fillId="2" borderId="1" applyNumberFormat="0" applyAlignment="0" applyProtection="0"/>
    <xf numFmtId="0" fontId="18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16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54" Type="http://schemas.openxmlformats.org/officeDocument/2006/relationships/worksheet" Target="worksheets/sheet53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Verdana"/>
                <a:ea typeface="Verdana"/>
                <a:cs typeface="Verdana"/>
              </a:rPr>
              <a:t>2008 Electoral College Prediction
</a:t>
            </a: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(Based on last 5 polls in each state)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ECEst!$N$1</c:f>
              <c:strCache>
                <c:ptCount val="1"/>
                <c:pt idx="0">
                  <c:v>Obama Strong</c:v>
                </c:pt>
              </c:strCache>
            </c:strRef>
          </c:tx>
          <c:spPr>
            <a:ln w="381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ECEst!$A$2:$A$367</c:f>
              <c:strCache>
                <c:ptCount val="366"/>
                <c:pt idx="123">
                  <c:v>38052.6625</c:v>
                </c:pt>
                <c:pt idx="124">
                  <c:v>38053.84722222222</c:v>
                </c:pt>
                <c:pt idx="125">
                  <c:v>38054.99513888889</c:v>
                </c:pt>
                <c:pt idx="126">
                  <c:v>38055.725694444445</c:v>
                </c:pt>
                <c:pt idx="127">
                  <c:v>38056.33541666667</c:v>
                </c:pt>
                <c:pt idx="128">
                  <c:v>38057.373611111114</c:v>
                </c:pt>
                <c:pt idx="129">
                  <c:v>38058.3375</c:v>
                </c:pt>
                <c:pt idx="130">
                  <c:v>38059.643055555556</c:v>
                </c:pt>
                <c:pt idx="131">
                  <c:v>38060.873611111114</c:v>
                </c:pt>
                <c:pt idx="132">
                  <c:v>38061.041666666664</c:v>
                </c:pt>
                <c:pt idx="133">
                  <c:v>38062.25625</c:v>
                </c:pt>
                <c:pt idx="134">
                  <c:v>38063.31805555556</c:v>
                </c:pt>
                <c:pt idx="135">
                  <c:v>38064.69930555556</c:v>
                </c:pt>
                <c:pt idx="136">
                  <c:v>38065.30347222222</c:v>
                </c:pt>
                <c:pt idx="137">
                  <c:v>38066.29513888889</c:v>
                </c:pt>
                <c:pt idx="138">
                  <c:v>38067.75069444445</c:v>
                </c:pt>
                <c:pt idx="139">
                  <c:v>38068.97708333333</c:v>
                </c:pt>
                <c:pt idx="140">
                  <c:v>38069.3125</c:v>
                </c:pt>
                <c:pt idx="141">
                  <c:v>38070.35833333333</c:v>
                </c:pt>
                <c:pt idx="142">
                  <c:v>38071.34444444445</c:v>
                </c:pt>
                <c:pt idx="143">
                  <c:v>38072.30347222222</c:v>
                </c:pt>
                <c:pt idx="144">
                  <c:v>38073.23819444444</c:v>
                </c:pt>
                <c:pt idx="145">
                  <c:v>38074.927083333336</c:v>
                </c:pt>
                <c:pt idx="146">
                  <c:v>38075.16527777778</c:v>
                </c:pt>
                <c:pt idx="147">
                  <c:v>38076.79375</c:v>
                </c:pt>
                <c:pt idx="148">
                  <c:v>38077.28611111111</c:v>
                </c:pt>
                <c:pt idx="149">
                  <c:v>38078.365277777775</c:v>
                </c:pt>
                <c:pt idx="150">
                  <c:v>38079.70208333333</c:v>
                </c:pt>
                <c:pt idx="151">
                  <c:v>38080.11111111111</c:v>
                </c:pt>
                <c:pt idx="152">
                  <c:v>38081.200694444444</c:v>
                </c:pt>
                <c:pt idx="153">
                  <c:v>38082.92638888889</c:v>
                </c:pt>
                <c:pt idx="154">
                  <c:v>38083.67986111111</c:v>
                </c:pt>
                <c:pt idx="155">
                  <c:v>38084.67361111111</c:v>
                </c:pt>
                <c:pt idx="156">
                  <c:v>38085.646527777775</c:v>
                </c:pt>
                <c:pt idx="157">
                  <c:v>38086.68680555555</c:v>
                </c:pt>
                <c:pt idx="158">
                  <c:v>38087.60763888889</c:v>
                </c:pt>
                <c:pt idx="159">
                  <c:v>38088.96944444445</c:v>
                </c:pt>
                <c:pt idx="160">
                  <c:v>38089.657638888886</c:v>
                </c:pt>
                <c:pt idx="161">
                  <c:v>38090.65972222222</c:v>
                </c:pt>
                <c:pt idx="162">
                  <c:v>38091.631944444445</c:v>
                </c:pt>
                <c:pt idx="163">
                  <c:v>38092.65833333333</c:v>
                </c:pt>
                <c:pt idx="164">
                  <c:v>38093.67986111111</c:v>
                </c:pt>
                <c:pt idx="165">
                  <c:v>38094.95138888889</c:v>
                </c:pt>
                <c:pt idx="166">
                  <c:v>38095.84097222222</c:v>
                </c:pt>
                <c:pt idx="167">
                  <c:v>38096.74930555555</c:v>
                </c:pt>
                <c:pt idx="168">
                  <c:v>38097.30416666667</c:v>
                </c:pt>
                <c:pt idx="169">
                  <c:v>38098.3875</c:v>
                </c:pt>
                <c:pt idx="170">
                  <c:v>38099.33472222222</c:v>
                </c:pt>
                <c:pt idx="171">
                  <c:v>38100.694444444445</c:v>
                </c:pt>
                <c:pt idx="172">
                  <c:v>38101.67638888889</c:v>
                </c:pt>
                <c:pt idx="173">
                  <c:v>38102.9625</c:v>
                </c:pt>
                <c:pt idx="174">
                  <c:v>38103.82916666667</c:v>
                </c:pt>
                <c:pt idx="175">
                  <c:v>38104.56805555556</c:v>
                </c:pt>
                <c:pt idx="176">
                  <c:v>38105.59166666667</c:v>
                </c:pt>
                <c:pt idx="177">
                  <c:v>38106.64444444444</c:v>
                </c:pt>
                <c:pt idx="178">
                  <c:v>38107.53958333333</c:v>
                </c:pt>
                <c:pt idx="179">
                  <c:v>38108.665972222225</c:v>
                </c:pt>
                <c:pt idx="180">
                  <c:v>38109.850694444445</c:v>
                </c:pt>
                <c:pt idx="181">
                  <c:v>38110.65694444445</c:v>
                </c:pt>
                <c:pt idx="182">
                  <c:v>38111.544444444444</c:v>
                </c:pt>
                <c:pt idx="183">
                  <c:v>38112.572222222225</c:v>
                </c:pt>
                <c:pt idx="184">
                  <c:v>38113.65347222222</c:v>
                </c:pt>
                <c:pt idx="185">
                  <c:v>38114.59166666667</c:v>
                </c:pt>
                <c:pt idx="186">
                  <c:v>38115.39236111111</c:v>
                </c:pt>
                <c:pt idx="187">
                  <c:v>38116.78611111111</c:v>
                </c:pt>
                <c:pt idx="188">
                  <c:v>38117.96875</c:v>
                </c:pt>
                <c:pt idx="189">
                  <c:v>38118.552083333336</c:v>
                </c:pt>
                <c:pt idx="190">
                  <c:v>38119.325694444444</c:v>
                </c:pt>
                <c:pt idx="191">
                  <c:v>38120.7125</c:v>
                </c:pt>
                <c:pt idx="192">
                  <c:v>38121.64236111111</c:v>
                </c:pt>
                <c:pt idx="193">
                  <c:v>38122.57847222222</c:v>
                </c:pt>
                <c:pt idx="194">
                  <c:v>38123.86736111111</c:v>
                </c:pt>
                <c:pt idx="195">
                  <c:v>38124.743055555555</c:v>
                </c:pt>
                <c:pt idx="196">
                  <c:v>38125.64375</c:v>
                </c:pt>
                <c:pt idx="197">
                  <c:v>38126.64513888889</c:v>
                </c:pt>
                <c:pt idx="198">
                  <c:v>38127.65277777778</c:v>
                </c:pt>
                <c:pt idx="199">
                  <c:v>38128.5875</c:v>
                </c:pt>
                <c:pt idx="200">
                  <c:v>38129.65972222222</c:v>
                </c:pt>
                <c:pt idx="201">
                  <c:v>38130.98055555556</c:v>
                </c:pt>
                <c:pt idx="202">
                  <c:v>38131.349583333336</c:v>
                </c:pt>
                <c:pt idx="203">
                  <c:v>38132.6125</c:v>
                </c:pt>
                <c:pt idx="204">
                  <c:v>38133.61736111111</c:v>
                </c:pt>
                <c:pt idx="205">
                  <c:v>38134.68194444444</c:v>
                </c:pt>
                <c:pt idx="206">
                  <c:v>38135.65833333333</c:v>
                </c:pt>
                <c:pt idx="207">
                  <c:v>38136.71319444444</c:v>
                </c:pt>
                <c:pt idx="208">
                  <c:v>38137.75763888889</c:v>
                </c:pt>
                <c:pt idx="209">
                  <c:v>38138.802777777775</c:v>
                </c:pt>
                <c:pt idx="210">
                  <c:v>38139.68125</c:v>
                </c:pt>
                <c:pt idx="211">
                  <c:v>38140.64027777778</c:v>
                </c:pt>
                <c:pt idx="212">
                  <c:v>38141.69583333333</c:v>
                </c:pt>
                <c:pt idx="213">
                  <c:v>38142.70208333333</c:v>
                </c:pt>
                <c:pt idx="214">
                  <c:v>38143.55069444444</c:v>
                </c:pt>
                <c:pt idx="215">
                  <c:v>38144.839583333334</c:v>
                </c:pt>
                <c:pt idx="216">
                  <c:v>38145.13680555556</c:v>
                </c:pt>
                <c:pt idx="217">
                  <c:v>38146.14722222222</c:v>
                </c:pt>
                <c:pt idx="218">
                  <c:v>38147.17222222222</c:v>
                </c:pt>
                <c:pt idx="219">
                  <c:v>38148.26666666667</c:v>
                </c:pt>
                <c:pt idx="220">
                  <c:v>38149.60138888889</c:v>
                </c:pt>
                <c:pt idx="221">
                  <c:v>38150.555555555555</c:v>
                </c:pt>
                <c:pt idx="222">
                  <c:v>38151.92986111111</c:v>
                </c:pt>
                <c:pt idx="223">
                  <c:v>38152.90625</c:v>
                </c:pt>
                <c:pt idx="224">
                  <c:v>38153.66111111111</c:v>
                </c:pt>
                <c:pt idx="225">
                  <c:v>38154.59652777778</c:v>
                </c:pt>
                <c:pt idx="226">
                  <c:v>38155.62291666667</c:v>
                </c:pt>
                <c:pt idx="227">
                  <c:v>38156.260416666664</c:v>
                </c:pt>
                <c:pt idx="228">
                  <c:v>38157.26388888889</c:v>
                </c:pt>
                <c:pt idx="229">
                  <c:v>38158.270833333336</c:v>
                </c:pt>
                <c:pt idx="230">
                  <c:v>38159.82708333333</c:v>
                </c:pt>
                <c:pt idx="231">
                  <c:v>38160.58194444444</c:v>
                </c:pt>
                <c:pt idx="232">
                  <c:v>38161.29861111111</c:v>
                </c:pt>
                <c:pt idx="233">
                  <c:v>38162.26666666667</c:v>
                </c:pt>
                <c:pt idx="234">
                  <c:v>38163.23611111111</c:v>
                </c:pt>
                <c:pt idx="235">
                  <c:v>38164.29583333333</c:v>
                </c:pt>
                <c:pt idx="236">
                  <c:v>38165.885416666664</c:v>
                </c:pt>
                <c:pt idx="237">
                  <c:v>38166.44513888889</c:v>
                </c:pt>
                <c:pt idx="238">
                  <c:v>38167.32986111111</c:v>
                </c:pt>
                <c:pt idx="239">
                  <c:v>38168.6375</c:v>
                </c:pt>
                <c:pt idx="240">
                  <c:v>38169.57708333333</c:v>
                </c:pt>
                <c:pt idx="241">
                  <c:v>38170.61041666667</c:v>
                </c:pt>
                <c:pt idx="242">
                  <c:v>38171.822916666664</c:v>
                </c:pt>
                <c:pt idx="243">
                  <c:v>38172.74097222222</c:v>
                </c:pt>
                <c:pt idx="244">
                  <c:v>38173.875</c:v>
                </c:pt>
                <c:pt idx="245">
                  <c:v>38174.67222222222</c:v>
                </c:pt>
                <c:pt idx="246">
                  <c:v>38175.620833333334</c:v>
                </c:pt>
                <c:pt idx="247">
                  <c:v>38176.7125</c:v>
                </c:pt>
                <c:pt idx="248">
                  <c:v>38177.63680555556</c:v>
                </c:pt>
                <c:pt idx="249">
                  <c:v>38178.674305555556</c:v>
                </c:pt>
                <c:pt idx="250">
                  <c:v>38179.91736111111</c:v>
                </c:pt>
                <c:pt idx="251">
                  <c:v>38180.947222222225</c:v>
                </c:pt>
                <c:pt idx="252">
                  <c:v>38181.70277777778</c:v>
                </c:pt>
                <c:pt idx="253">
                  <c:v>38182.6375</c:v>
                </c:pt>
                <c:pt idx="254">
                  <c:v>38183.61319444444</c:v>
                </c:pt>
                <c:pt idx="255">
                  <c:v>38184.63055555556</c:v>
                </c:pt>
                <c:pt idx="256">
                  <c:v>38185.15833333333</c:v>
                </c:pt>
                <c:pt idx="257">
                  <c:v>38186.220138888886</c:v>
                </c:pt>
                <c:pt idx="258">
                  <c:v>38187.18819444445</c:v>
                </c:pt>
                <c:pt idx="259">
                  <c:v>38188.23472222222</c:v>
                </c:pt>
                <c:pt idx="260">
                  <c:v>38189.42152777778</c:v>
                </c:pt>
                <c:pt idx="261">
                  <c:v>38190.592361111114</c:v>
                </c:pt>
                <c:pt idx="262">
                  <c:v>38191.57986111111</c:v>
                </c:pt>
                <c:pt idx="263">
                  <c:v>38192.21111111111</c:v>
                </c:pt>
                <c:pt idx="264">
                  <c:v>38193.842361111114</c:v>
                </c:pt>
                <c:pt idx="265">
                  <c:v>38194.74166666667</c:v>
                </c:pt>
                <c:pt idx="266">
                  <c:v>38195.65833333333</c:v>
                </c:pt>
                <c:pt idx="267">
                  <c:v>38196.69583333333</c:v>
                </c:pt>
                <c:pt idx="268">
                  <c:v>38197.60277777778</c:v>
                </c:pt>
                <c:pt idx="269">
                  <c:v>38198.54583333333</c:v>
                </c:pt>
                <c:pt idx="270">
                  <c:v>38199.58125</c:v>
                </c:pt>
                <c:pt idx="271">
                  <c:v>38200.79861111111</c:v>
                </c:pt>
                <c:pt idx="272">
                  <c:v>38201.69513888889</c:v>
                </c:pt>
                <c:pt idx="273">
                  <c:v>38202.71319444444</c:v>
                </c:pt>
                <c:pt idx="274">
                  <c:v>38203.677083333336</c:v>
                </c:pt>
                <c:pt idx="275">
                  <c:v>38204.66111111111</c:v>
                </c:pt>
                <c:pt idx="276">
                  <c:v>38205.47430555556</c:v>
                </c:pt>
                <c:pt idx="277">
                  <c:v>38206.62777777778</c:v>
                </c:pt>
                <c:pt idx="278">
                  <c:v>38207.94930555556</c:v>
                </c:pt>
                <c:pt idx="279">
                  <c:v>38208.92152777778</c:v>
                </c:pt>
                <c:pt idx="280">
                  <c:v>38209.34027777778</c:v>
                </c:pt>
                <c:pt idx="281">
                  <c:v>38210.592361111114</c:v>
                </c:pt>
                <c:pt idx="282">
                  <c:v>38211.635416666664</c:v>
                </c:pt>
                <c:pt idx="283">
                  <c:v>38212.62708333333</c:v>
                </c:pt>
                <c:pt idx="284">
                  <c:v>38213.60486111111</c:v>
                </c:pt>
                <c:pt idx="285">
                  <c:v>38214.87847222222</c:v>
                </c:pt>
                <c:pt idx="286">
                  <c:v>38215.743055555555</c:v>
                </c:pt>
                <c:pt idx="287">
                  <c:v>38216.61944444444</c:v>
                </c:pt>
                <c:pt idx="288">
                  <c:v>38217.58888888889</c:v>
                </c:pt>
                <c:pt idx="289">
                  <c:v>38218.60763888889</c:v>
                </c:pt>
                <c:pt idx="290">
                  <c:v>38219.638194444444</c:v>
                </c:pt>
                <c:pt idx="291">
                  <c:v>38220.614583333336</c:v>
                </c:pt>
                <c:pt idx="292">
                  <c:v>38221.81875</c:v>
                </c:pt>
                <c:pt idx="293">
                  <c:v>38222.82847222222</c:v>
                </c:pt>
                <c:pt idx="294">
                  <c:v>38223.77847222222</c:v>
                </c:pt>
                <c:pt idx="295">
                  <c:v>38224.7</c:v>
                </c:pt>
                <c:pt idx="296">
                  <c:v>38225.76944444444</c:v>
                </c:pt>
                <c:pt idx="297">
                  <c:v>38226.947222222225</c:v>
                </c:pt>
                <c:pt idx="298">
                  <c:v>38227.623611111114</c:v>
                </c:pt>
                <c:pt idx="299">
                  <c:v>38228.717361111114</c:v>
                </c:pt>
                <c:pt idx="300">
                  <c:v>38229.955555555556</c:v>
                </c:pt>
                <c:pt idx="301">
                  <c:v>38230.95416666667</c:v>
                </c:pt>
                <c:pt idx="302">
                  <c:v>38231.868055555555</c:v>
                </c:pt>
                <c:pt idx="303">
                  <c:v>38232.81180555555</c:v>
                </c:pt>
                <c:pt idx="304">
                  <c:v>38233.96666666667</c:v>
                </c:pt>
                <c:pt idx="305">
                  <c:v>38234.63125</c:v>
                </c:pt>
                <c:pt idx="306">
                  <c:v>38235.82916666667</c:v>
                </c:pt>
                <c:pt idx="307">
                  <c:v>38236.91111111111</c:v>
                </c:pt>
                <c:pt idx="308">
                  <c:v>38237.68125</c:v>
                </c:pt>
                <c:pt idx="309">
                  <c:v>38238.53125</c:v>
                </c:pt>
                <c:pt idx="310">
                  <c:v>38239.63680555556</c:v>
                </c:pt>
                <c:pt idx="311">
                  <c:v>38240.63125</c:v>
                </c:pt>
                <c:pt idx="312">
                  <c:v>38241.60555555556</c:v>
                </c:pt>
                <c:pt idx="313">
                  <c:v>38242.92569444444</c:v>
                </c:pt>
                <c:pt idx="314">
                  <c:v>38243.78055555555</c:v>
                </c:pt>
                <c:pt idx="315">
                  <c:v>38244.646527777775</c:v>
                </c:pt>
                <c:pt idx="316">
                  <c:v>38245.29583333333</c:v>
                </c:pt>
                <c:pt idx="317">
                  <c:v>38246.59444444445</c:v>
                </c:pt>
                <c:pt idx="318">
                  <c:v>38247.64166666667</c:v>
                </c:pt>
                <c:pt idx="319">
                  <c:v>38248.2625</c:v>
                </c:pt>
                <c:pt idx="320">
                  <c:v>38249.88680555556</c:v>
                </c:pt>
                <c:pt idx="321">
                  <c:v>38250.73888888889</c:v>
                </c:pt>
                <c:pt idx="322">
                  <c:v>38251.57083333333</c:v>
                </c:pt>
                <c:pt idx="323">
                  <c:v>38252.555555555555</c:v>
                </c:pt>
                <c:pt idx="324">
                  <c:v>38253.28958333333</c:v>
                </c:pt>
                <c:pt idx="325">
                  <c:v>38254.629166666666</c:v>
                </c:pt>
                <c:pt idx="326">
                  <c:v>38255.61388888889</c:v>
                </c:pt>
                <c:pt idx="327">
                  <c:v>38256.84166666667</c:v>
                </c:pt>
                <c:pt idx="328">
                  <c:v>38257.79583333333</c:v>
                </c:pt>
                <c:pt idx="329">
                  <c:v>38258.63888888889</c:v>
                </c:pt>
                <c:pt idx="330">
                  <c:v>38259.61666666667</c:v>
                </c:pt>
                <c:pt idx="331">
                  <c:v>38260.55347222222</c:v>
                </c:pt>
                <c:pt idx="332">
                  <c:v>38261.561111111114</c:v>
                </c:pt>
                <c:pt idx="333">
                  <c:v>38262.58541666667</c:v>
                </c:pt>
                <c:pt idx="334">
                  <c:v>38263.925</c:v>
                </c:pt>
                <c:pt idx="335">
                  <c:v>38264.88402777778</c:v>
                </c:pt>
                <c:pt idx="336">
                  <c:v>38265.66736111111</c:v>
                </c:pt>
                <c:pt idx="337">
                  <c:v>38266.646527777775</c:v>
                </c:pt>
                <c:pt idx="338">
                  <c:v>38267.631944444445</c:v>
                </c:pt>
                <c:pt idx="339">
                  <c:v>38268.69652777778</c:v>
                </c:pt>
                <c:pt idx="340">
                  <c:v>38269.674305555556</c:v>
                </c:pt>
                <c:pt idx="341">
                  <c:v>38270.80902777778</c:v>
                </c:pt>
                <c:pt idx="342">
                  <c:v>38271.91736111111</c:v>
                </c:pt>
                <c:pt idx="343">
                  <c:v>38272.59375</c:v>
                </c:pt>
                <c:pt idx="344">
                  <c:v>38273.59444444445</c:v>
                </c:pt>
                <c:pt idx="345">
                  <c:v>38274.62777777778</c:v>
                </c:pt>
                <c:pt idx="346">
                  <c:v>38275.64513888889</c:v>
                </c:pt>
                <c:pt idx="347">
                  <c:v>38276.69375</c:v>
                </c:pt>
                <c:pt idx="348">
                  <c:v>38277.845138888886</c:v>
                </c:pt>
                <c:pt idx="349">
                  <c:v>38278.950694444444</c:v>
                </c:pt>
                <c:pt idx="350">
                  <c:v>38279.74444444444</c:v>
                </c:pt>
                <c:pt idx="351">
                  <c:v>38280.60902777778</c:v>
                </c:pt>
                <c:pt idx="352">
                  <c:v>38281.6375</c:v>
                </c:pt>
                <c:pt idx="353">
                  <c:v>38282.62569444445</c:v>
                </c:pt>
                <c:pt idx="354">
                  <c:v>38283.68472222222</c:v>
                </c:pt>
                <c:pt idx="355">
                  <c:v>38284.899305555555</c:v>
                </c:pt>
                <c:pt idx="356">
                  <c:v>38285.861805555556</c:v>
                </c:pt>
                <c:pt idx="357">
                  <c:v>38286.55694444444</c:v>
                </c:pt>
                <c:pt idx="358">
                  <c:v>38287.62013888889</c:v>
                </c:pt>
                <c:pt idx="359">
                  <c:v>38288.68958333333</c:v>
                </c:pt>
                <c:pt idx="360">
                  <c:v>38289.62777777778</c:v>
                </c:pt>
                <c:pt idx="361">
                  <c:v>38290.56319444445</c:v>
                </c:pt>
                <c:pt idx="362">
                  <c:v>38291.89444444444</c:v>
                </c:pt>
                <c:pt idx="363">
                  <c:v>38292.768055555556</c:v>
                </c:pt>
              </c:strCache>
            </c:strRef>
          </c:xVal>
          <c:yVal>
            <c:numRef>
              <c:f>ECEst!$N$2:$N$367</c:f>
              <c:numCache>
                <c:ptCount val="366"/>
                <c:pt idx="123">
                  <c:v>130</c:v>
                </c:pt>
                <c:pt idx="124">
                  <c:v>130</c:v>
                </c:pt>
                <c:pt idx="125">
                  <c:v>130</c:v>
                </c:pt>
                <c:pt idx="126">
                  <c:v>130</c:v>
                </c:pt>
                <c:pt idx="127">
                  <c:v>130</c:v>
                </c:pt>
                <c:pt idx="128">
                  <c:v>130</c:v>
                </c:pt>
                <c:pt idx="129">
                  <c:v>123</c:v>
                </c:pt>
                <c:pt idx="130">
                  <c:v>123</c:v>
                </c:pt>
                <c:pt idx="131">
                  <c:v>123</c:v>
                </c:pt>
                <c:pt idx="132">
                  <c:v>123</c:v>
                </c:pt>
                <c:pt idx="133">
                  <c:v>123</c:v>
                </c:pt>
                <c:pt idx="134">
                  <c:v>123</c:v>
                </c:pt>
                <c:pt idx="135">
                  <c:v>123</c:v>
                </c:pt>
                <c:pt idx="136">
                  <c:v>123</c:v>
                </c:pt>
                <c:pt idx="137">
                  <c:v>123</c:v>
                </c:pt>
                <c:pt idx="138">
                  <c:v>123</c:v>
                </c:pt>
                <c:pt idx="139">
                  <c:v>123</c:v>
                </c:pt>
                <c:pt idx="140">
                  <c:v>123</c:v>
                </c:pt>
                <c:pt idx="141">
                  <c:v>123</c:v>
                </c:pt>
                <c:pt idx="142">
                  <c:v>123</c:v>
                </c:pt>
                <c:pt idx="143">
                  <c:v>123</c:v>
                </c:pt>
                <c:pt idx="144">
                  <c:v>123</c:v>
                </c:pt>
                <c:pt idx="145">
                  <c:v>123</c:v>
                </c:pt>
                <c:pt idx="146">
                  <c:v>123</c:v>
                </c:pt>
                <c:pt idx="147">
                  <c:v>123</c:v>
                </c:pt>
                <c:pt idx="148">
                  <c:v>123</c:v>
                </c:pt>
                <c:pt idx="149">
                  <c:v>123</c:v>
                </c:pt>
                <c:pt idx="150">
                  <c:v>123</c:v>
                </c:pt>
                <c:pt idx="151">
                  <c:v>123</c:v>
                </c:pt>
                <c:pt idx="152">
                  <c:v>123</c:v>
                </c:pt>
                <c:pt idx="153">
                  <c:v>123</c:v>
                </c:pt>
                <c:pt idx="154">
                  <c:v>130</c:v>
                </c:pt>
                <c:pt idx="155">
                  <c:v>130</c:v>
                </c:pt>
                <c:pt idx="156">
                  <c:v>130</c:v>
                </c:pt>
                <c:pt idx="157">
                  <c:v>161</c:v>
                </c:pt>
                <c:pt idx="158">
                  <c:v>161</c:v>
                </c:pt>
                <c:pt idx="159">
                  <c:v>161</c:v>
                </c:pt>
                <c:pt idx="160">
                  <c:v>161</c:v>
                </c:pt>
                <c:pt idx="161">
                  <c:v>161</c:v>
                </c:pt>
                <c:pt idx="162">
                  <c:v>161</c:v>
                </c:pt>
                <c:pt idx="163">
                  <c:v>161</c:v>
                </c:pt>
                <c:pt idx="164">
                  <c:v>161</c:v>
                </c:pt>
                <c:pt idx="165">
                  <c:v>161</c:v>
                </c:pt>
                <c:pt idx="166">
                  <c:v>161</c:v>
                </c:pt>
                <c:pt idx="167">
                  <c:v>161</c:v>
                </c:pt>
                <c:pt idx="168">
                  <c:v>161</c:v>
                </c:pt>
                <c:pt idx="169">
                  <c:v>161</c:v>
                </c:pt>
                <c:pt idx="170">
                  <c:v>161</c:v>
                </c:pt>
                <c:pt idx="171">
                  <c:v>161</c:v>
                </c:pt>
                <c:pt idx="172">
                  <c:v>161</c:v>
                </c:pt>
                <c:pt idx="173">
                  <c:v>161</c:v>
                </c:pt>
                <c:pt idx="174">
                  <c:v>161</c:v>
                </c:pt>
                <c:pt idx="175">
                  <c:v>161</c:v>
                </c:pt>
                <c:pt idx="176">
                  <c:v>161</c:v>
                </c:pt>
                <c:pt idx="177">
                  <c:v>161</c:v>
                </c:pt>
                <c:pt idx="178">
                  <c:v>161</c:v>
                </c:pt>
                <c:pt idx="179">
                  <c:v>161</c:v>
                </c:pt>
                <c:pt idx="180">
                  <c:v>161</c:v>
                </c:pt>
                <c:pt idx="181">
                  <c:v>161</c:v>
                </c:pt>
                <c:pt idx="182">
                  <c:v>161</c:v>
                </c:pt>
                <c:pt idx="183">
                  <c:v>161</c:v>
                </c:pt>
                <c:pt idx="184">
                  <c:v>161</c:v>
                </c:pt>
                <c:pt idx="185">
                  <c:v>161</c:v>
                </c:pt>
                <c:pt idx="186">
                  <c:v>161</c:v>
                </c:pt>
                <c:pt idx="187">
                  <c:v>161</c:v>
                </c:pt>
                <c:pt idx="188">
                  <c:v>161</c:v>
                </c:pt>
                <c:pt idx="189">
                  <c:v>161</c:v>
                </c:pt>
                <c:pt idx="190">
                  <c:v>161</c:v>
                </c:pt>
                <c:pt idx="191">
                  <c:v>161</c:v>
                </c:pt>
                <c:pt idx="192">
                  <c:v>161</c:v>
                </c:pt>
                <c:pt idx="193">
                  <c:v>161</c:v>
                </c:pt>
                <c:pt idx="194">
                  <c:v>161</c:v>
                </c:pt>
                <c:pt idx="195">
                  <c:v>161</c:v>
                </c:pt>
                <c:pt idx="196">
                  <c:v>161</c:v>
                </c:pt>
                <c:pt idx="197">
                  <c:v>161</c:v>
                </c:pt>
                <c:pt idx="198">
                  <c:v>161</c:v>
                </c:pt>
                <c:pt idx="199">
                  <c:v>161</c:v>
                </c:pt>
                <c:pt idx="200">
                  <c:v>161</c:v>
                </c:pt>
                <c:pt idx="201">
                  <c:v>161</c:v>
                </c:pt>
                <c:pt idx="202">
                  <c:v>161</c:v>
                </c:pt>
                <c:pt idx="203">
                  <c:v>161</c:v>
                </c:pt>
                <c:pt idx="204">
                  <c:v>151</c:v>
                </c:pt>
                <c:pt idx="205">
                  <c:v>151</c:v>
                </c:pt>
                <c:pt idx="206">
                  <c:v>151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109</c:v>
                </c:pt>
                <c:pt idx="212">
                  <c:v>109</c:v>
                </c:pt>
                <c:pt idx="213">
                  <c:v>109</c:v>
                </c:pt>
                <c:pt idx="214">
                  <c:v>109</c:v>
                </c:pt>
                <c:pt idx="215">
                  <c:v>109</c:v>
                </c:pt>
                <c:pt idx="216">
                  <c:v>109</c:v>
                </c:pt>
                <c:pt idx="217">
                  <c:v>109</c:v>
                </c:pt>
                <c:pt idx="218">
                  <c:v>109</c:v>
                </c:pt>
                <c:pt idx="219">
                  <c:v>109</c:v>
                </c:pt>
                <c:pt idx="220">
                  <c:v>109</c:v>
                </c:pt>
                <c:pt idx="221">
                  <c:v>82</c:v>
                </c:pt>
                <c:pt idx="222">
                  <c:v>82</c:v>
                </c:pt>
                <c:pt idx="223">
                  <c:v>82</c:v>
                </c:pt>
                <c:pt idx="224">
                  <c:v>82</c:v>
                </c:pt>
                <c:pt idx="225">
                  <c:v>82</c:v>
                </c:pt>
                <c:pt idx="226">
                  <c:v>92</c:v>
                </c:pt>
                <c:pt idx="227">
                  <c:v>92</c:v>
                </c:pt>
                <c:pt idx="228">
                  <c:v>92</c:v>
                </c:pt>
                <c:pt idx="229">
                  <c:v>92</c:v>
                </c:pt>
                <c:pt idx="230">
                  <c:v>92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92</c:v>
                </c:pt>
                <c:pt idx="235">
                  <c:v>82</c:v>
                </c:pt>
                <c:pt idx="236">
                  <c:v>82</c:v>
                </c:pt>
                <c:pt idx="237">
                  <c:v>82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82</c:v>
                </c:pt>
                <c:pt idx="242">
                  <c:v>82</c:v>
                </c:pt>
                <c:pt idx="243">
                  <c:v>82</c:v>
                </c:pt>
                <c:pt idx="244">
                  <c:v>82</c:v>
                </c:pt>
                <c:pt idx="245">
                  <c:v>82</c:v>
                </c:pt>
                <c:pt idx="246">
                  <c:v>82</c:v>
                </c:pt>
                <c:pt idx="247">
                  <c:v>75</c:v>
                </c:pt>
                <c:pt idx="248">
                  <c:v>90</c:v>
                </c:pt>
                <c:pt idx="249">
                  <c:v>80</c:v>
                </c:pt>
                <c:pt idx="250">
                  <c:v>80</c:v>
                </c:pt>
                <c:pt idx="251">
                  <c:v>80</c:v>
                </c:pt>
                <c:pt idx="252">
                  <c:v>80</c:v>
                </c:pt>
                <c:pt idx="253">
                  <c:v>80</c:v>
                </c:pt>
                <c:pt idx="254">
                  <c:v>80</c:v>
                </c:pt>
                <c:pt idx="255">
                  <c:v>87</c:v>
                </c:pt>
                <c:pt idx="256">
                  <c:v>87</c:v>
                </c:pt>
                <c:pt idx="257">
                  <c:v>87</c:v>
                </c:pt>
                <c:pt idx="258">
                  <c:v>87</c:v>
                </c:pt>
                <c:pt idx="259">
                  <c:v>87</c:v>
                </c:pt>
                <c:pt idx="260">
                  <c:v>87</c:v>
                </c:pt>
                <c:pt idx="261">
                  <c:v>87</c:v>
                </c:pt>
                <c:pt idx="262">
                  <c:v>72</c:v>
                </c:pt>
                <c:pt idx="263">
                  <c:v>72</c:v>
                </c:pt>
                <c:pt idx="264">
                  <c:v>72</c:v>
                </c:pt>
                <c:pt idx="265">
                  <c:v>72</c:v>
                </c:pt>
                <c:pt idx="266">
                  <c:v>72</c:v>
                </c:pt>
                <c:pt idx="267">
                  <c:v>72</c:v>
                </c:pt>
                <c:pt idx="268">
                  <c:v>72</c:v>
                </c:pt>
                <c:pt idx="269">
                  <c:v>72</c:v>
                </c:pt>
                <c:pt idx="270">
                  <c:v>72</c:v>
                </c:pt>
                <c:pt idx="271">
                  <c:v>72</c:v>
                </c:pt>
                <c:pt idx="272">
                  <c:v>72</c:v>
                </c:pt>
                <c:pt idx="273">
                  <c:v>72</c:v>
                </c:pt>
                <c:pt idx="274">
                  <c:v>72</c:v>
                </c:pt>
                <c:pt idx="275">
                  <c:v>72</c:v>
                </c:pt>
                <c:pt idx="276">
                  <c:v>72</c:v>
                </c:pt>
                <c:pt idx="277">
                  <c:v>82</c:v>
                </c:pt>
                <c:pt idx="278">
                  <c:v>82</c:v>
                </c:pt>
                <c:pt idx="279">
                  <c:v>82</c:v>
                </c:pt>
                <c:pt idx="280">
                  <c:v>82</c:v>
                </c:pt>
                <c:pt idx="281">
                  <c:v>82</c:v>
                </c:pt>
                <c:pt idx="282">
                  <c:v>97</c:v>
                </c:pt>
                <c:pt idx="283">
                  <c:v>97</c:v>
                </c:pt>
                <c:pt idx="284">
                  <c:v>97</c:v>
                </c:pt>
                <c:pt idx="285">
                  <c:v>97</c:v>
                </c:pt>
                <c:pt idx="286">
                  <c:v>97</c:v>
                </c:pt>
                <c:pt idx="287">
                  <c:v>97</c:v>
                </c:pt>
                <c:pt idx="288">
                  <c:v>107</c:v>
                </c:pt>
                <c:pt idx="289">
                  <c:v>107</c:v>
                </c:pt>
                <c:pt idx="290">
                  <c:v>107</c:v>
                </c:pt>
                <c:pt idx="291">
                  <c:v>107</c:v>
                </c:pt>
                <c:pt idx="292">
                  <c:v>107</c:v>
                </c:pt>
                <c:pt idx="293">
                  <c:v>107</c:v>
                </c:pt>
                <c:pt idx="294">
                  <c:v>107</c:v>
                </c:pt>
                <c:pt idx="295">
                  <c:v>107</c:v>
                </c:pt>
                <c:pt idx="296">
                  <c:v>107</c:v>
                </c:pt>
                <c:pt idx="297">
                  <c:v>107</c:v>
                </c:pt>
                <c:pt idx="298">
                  <c:v>107</c:v>
                </c:pt>
                <c:pt idx="299">
                  <c:v>107</c:v>
                </c:pt>
                <c:pt idx="300">
                  <c:v>107</c:v>
                </c:pt>
                <c:pt idx="301">
                  <c:v>107</c:v>
                </c:pt>
                <c:pt idx="302">
                  <c:v>107</c:v>
                </c:pt>
                <c:pt idx="303">
                  <c:v>107</c:v>
                </c:pt>
                <c:pt idx="304">
                  <c:v>107</c:v>
                </c:pt>
                <c:pt idx="305">
                  <c:v>107</c:v>
                </c:pt>
                <c:pt idx="306">
                  <c:v>107</c:v>
                </c:pt>
                <c:pt idx="307">
                  <c:v>107</c:v>
                </c:pt>
                <c:pt idx="308">
                  <c:v>107</c:v>
                </c:pt>
                <c:pt idx="309">
                  <c:v>118</c:v>
                </c:pt>
                <c:pt idx="310">
                  <c:v>118</c:v>
                </c:pt>
                <c:pt idx="311">
                  <c:v>118</c:v>
                </c:pt>
                <c:pt idx="312">
                  <c:v>118</c:v>
                </c:pt>
                <c:pt idx="313">
                  <c:v>118</c:v>
                </c:pt>
                <c:pt idx="314">
                  <c:v>118</c:v>
                </c:pt>
                <c:pt idx="315">
                  <c:v>118</c:v>
                </c:pt>
                <c:pt idx="316">
                  <c:v>118</c:v>
                </c:pt>
                <c:pt idx="317">
                  <c:v>115</c:v>
                </c:pt>
                <c:pt idx="318">
                  <c:v>112</c:v>
                </c:pt>
                <c:pt idx="319">
                  <c:v>112</c:v>
                </c:pt>
                <c:pt idx="320">
                  <c:v>112</c:v>
                </c:pt>
                <c:pt idx="321">
                  <c:v>112</c:v>
                </c:pt>
                <c:pt idx="322">
                  <c:v>112</c:v>
                </c:pt>
                <c:pt idx="323">
                  <c:v>112</c:v>
                </c:pt>
                <c:pt idx="324">
                  <c:v>112</c:v>
                </c:pt>
                <c:pt idx="325">
                  <c:v>109</c:v>
                </c:pt>
                <c:pt idx="326">
                  <c:v>109</c:v>
                </c:pt>
                <c:pt idx="327">
                  <c:v>102</c:v>
                </c:pt>
                <c:pt idx="328">
                  <c:v>102</c:v>
                </c:pt>
                <c:pt idx="329">
                  <c:v>102</c:v>
                </c:pt>
                <c:pt idx="330">
                  <c:v>102</c:v>
                </c:pt>
                <c:pt idx="331">
                  <c:v>102</c:v>
                </c:pt>
                <c:pt idx="332">
                  <c:v>102</c:v>
                </c:pt>
                <c:pt idx="333">
                  <c:v>102</c:v>
                </c:pt>
                <c:pt idx="334">
                  <c:v>102</c:v>
                </c:pt>
                <c:pt idx="335">
                  <c:v>102</c:v>
                </c:pt>
                <c:pt idx="336">
                  <c:v>102</c:v>
                </c:pt>
                <c:pt idx="337">
                  <c:v>102</c:v>
                </c:pt>
                <c:pt idx="338">
                  <c:v>81</c:v>
                </c:pt>
                <c:pt idx="339">
                  <c:v>81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35</c:v>
                </c:pt>
                <c:pt idx="345">
                  <c:v>35</c:v>
                </c:pt>
                <c:pt idx="346">
                  <c:v>35</c:v>
                </c:pt>
                <c:pt idx="347">
                  <c:v>39</c:v>
                </c:pt>
                <c:pt idx="348">
                  <c:v>39</c:v>
                </c:pt>
                <c:pt idx="349">
                  <c:v>39</c:v>
                </c:pt>
                <c:pt idx="350">
                  <c:v>39</c:v>
                </c:pt>
                <c:pt idx="351">
                  <c:v>39</c:v>
                </c:pt>
                <c:pt idx="352">
                  <c:v>24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10</c:v>
                </c:pt>
                <c:pt idx="360">
                  <c:v>41</c:v>
                </c:pt>
                <c:pt idx="361">
                  <c:v>31</c:v>
                </c:pt>
                <c:pt idx="362">
                  <c:v>31</c:v>
                </c:pt>
                <c:pt idx="363">
                  <c:v>31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ECEst!$M$1</c:f>
              <c:strCache>
                <c:ptCount val="1"/>
                <c:pt idx="0">
                  <c:v>Obama Weak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ECEst!$A$2:$A$367</c:f>
              <c:strCache>
                <c:ptCount val="366"/>
                <c:pt idx="123">
                  <c:v>38052.6625</c:v>
                </c:pt>
                <c:pt idx="124">
                  <c:v>38053.84722222222</c:v>
                </c:pt>
                <c:pt idx="125">
                  <c:v>38054.99513888889</c:v>
                </c:pt>
                <c:pt idx="126">
                  <c:v>38055.725694444445</c:v>
                </c:pt>
                <c:pt idx="127">
                  <c:v>38056.33541666667</c:v>
                </c:pt>
                <c:pt idx="128">
                  <c:v>38057.373611111114</c:v>
                </c:pt>
                <c:pt idx="129">
                  <c:v>38058.3375</c:v>
                </c:pt>
                <c:pt idx="130">
                  <c:v>38059.643055555556</c:v>
                </c:pt>
                <c:pt idx="131">
                  <c:v>38060.873611111114</c:v>
                </c:pt>
                <c:pt idx="132">
                  <c:v>38061.041666666664</c:v>
                </c:pt>
                <c:pt idx="133">
                  <c:v>38062.25625</c:v>
                </c:pt>
                <c:pt idx="134">
                  <c:v>38063.31805555556</c:v>
                </c:pt>
                <c:pt idx="135">
                  <c:v>38064.69930555556</c:v>
                </c:pt>
                <c:pt idx="136">
                  <c:v>38065.30347222222</c:v>
                </c:pt>
                <c:pt idx="137">
                  <c:v>38066.29513888889</c:v>
                </c:pt>
                <c:pt idx="138">
                  <c:v>38067.75069444445</c:v>
                </c:pt>
                <c:pt idx="139">
                  <c:v>38068.97708333333</c:v>
                </c:pt>
                <c:pt idx="140">
                  <c:v>38069.3125</c:v>
                </c:pt>
                <c:pt idx="141">
                  <c:v>38070.35833333333</c:v>
                </c:pt>
                <c:pt idx="142">
                  <c:v>38071.34444444445</c:v>
                </c:pt>
                <c:pt idx="143">
                  <c:v>38072.30347222222</c:v>
                </c:pt>
                <c:pt idx="144">
                  <c:v>38073.23819444444</c:v>
                </c:pt>
                <c:pt idx="145">
                  <c:v>38074.927083333336</c:v>
                </c:pt>
                <c:pt idx="146">
                  <c:v>38075.16527777778</c:v>
                </c:pt>
                <c:pt idx="147">
                  <c:v>38076.79375</c:v>
                </c:pt>
                <c:pt idx="148">
                  <c:v>38077.28611111111</c:v>
                </c:pt>
                <c:pt idx="149">
                  <c:v>38078.365277777775</c:v>
                </c:pt>
                <c:pt idx="150">
                  <c:v>38079.70208333333</c:v>
                </c:pt>
                <c:pt idx="151">
                  <c:v>38080.11111111111</c:v>
                </c:pt>
                <c:pt idx="152">
                  <c:v>38081.200694444444</c:v>
                </c:pt>
                <c:pt idx="153">
                  <c:v>38082.92638888889</c:v>
                </c:pt>
                <c:pt idx="154">
                  <c:v>38083.67986111111</c:v>
                </c:pt>
                <c:pt idx="155">
                  <c:v>38084.67361111111</c:v>
                </c:pt>
                <c:pt idx="156">
                  <c:v>38085.646527777775</c:v>
                </c:pt>
                <c:pt idx="157">
                  <c:v>38086.68680555555</c:v>
                </c:pt>
                <c:pt idx="158">
                  <c:v>38087.60763888889</c:v>
                </c:pt>
                <c:pt idx="159">
                  <c:v>38088.96944444445</c:v>
                </c:pt>
                <c:pt idx="160">
                  <c:v>38089.657638888886</c:v>
                </c:pt>
                <c:pt idx="161">
                  <c:v>38090.65972222222</c:v>
                </c:pt>
                <c:pt idx="162">
                  <c:v>38091.631944444445</c:v>
                </c:pt>
                <c:pt idx="163">
                  <c:v>38092.65833333333</c:v>
                </c:pt>
                <c:pt idx="164">
                  <c:v>38093.67986111111</c:v>
                </c:pt>
                <c:pt idx="165">
                  <c:v>38094.95138888889</c:v>
                </c:pt>
                <c:pt idx="166">
                  <c:v>38095.84097222222</c:v>
                </c:pt>
                <c:pt idx="167">
                  <c:v>38096.74930555555</c:v>
                </c:pt>
                <c:pt idx="168">
                  <c:v>38097.30416666667</c:v>
                </c:pt>
                <c:pt idx="169">
                  <c:v>38098.3875</c:v>
                </c:pt>
                <c:pt idx="170">
                  <c:v>38099.33472222222</c:v>
                </c:pt>
                <c:pt idx="171">
                  <c:v>38100.694444444445</c:v>
                </c:pt>
                <c:pt idx="172">
                  <c:v>38101.67638888889</c:v>
                </c:pt>
                <c:pt idx="173">
                  <c:v>38102.9625</c:v>
                </c:pt>
                <c:pt idx="174">
                  <c:v>38103.82916666667</c:v>
                </c:pt>
                <c:pt idx="175">
                  <c:v>38104.56805555556</c:v>
                </c:pt>
                <c:pt idx="176">
                  <c:v>38105.59166666667</c:v>
                </c:pt>
                <c:pt idx="177">
                  <c:v>38106.64444444444</c:v>
                </c:pt>
                <c:pt idx="178">
                  <c:v>38107.53958333333</c:v>
                </c:pt>
                <c:pt idx="179">
                  <c:v>38108.665972222225</c:v>
                </c:pt>
                <c:pt idx="180">
                  <c:v>38109.850694444445</c:v>
                </c:pt>
                <c:pt idx="181">
                  <c:v>38110.65694444445</c:v>
                </c:pt>
                <c:pt idx="182">
                  <c:v>38111.544444444444</c:v>
                </c:pt>
                <c:pt idx="183">
                  <c:v>38112.572222222225</c:v>
                </c:pt>
                <c:pt idx="184">
                  <c:v>38113.65347222222</c:v>
                </c:pt>
                <c:pt idx="185">
                  <c:v>38114.59166666667</c:v>
                </c:pt>
                <c:pt idx="186">
                  <c:v>38115.39236111111</c:v>
                </c:pt>
                <c:pt idx="187">
                  <c:v>38116.78611111111</c:v>
                </c:pt>
                <c:pt idx="188">
                  <c:v>38117.96875</c:v>
                </c:pt>
                <c:pt idx="189">
                  <c:v>38118.552083333336</c:v>
                </c:pt>
                <c:pt idx="190">
                  <c:v>38119.325694444444</c:v>
                </c:pt>
                <c:pt idx="191">
                  <c:v>38120.7125</c:v>
                </c:pt>
                <c:pt idx="192">
                  <c:v>38121.64236111111</c:v>
                </c:pt>
                <c:pt idx="193">
                  <c:v>38122.57847222222</c:v>
                </c:pt>
                <c:pt idx="194">
                  <c:v>38123.86736111111</c:v>
                </c:pt>
                <c:pt idx="195">
                  <c:v>38124.743055555555</c:v>
                </c:pt>
                <c:pt idx="196">
                  <c:v>38125.64375</c:v>
                </c:pt>
                <c:pt idx="197">
                  <c:v>38126.64513888889</c:v>
                </c:pt>
                <c:pt idx="198">
                  <c:v>38127.65277777778</c:v>
                </c:pt>
                <c:pt idx="199">
                  <c:v>38128.5875</c:v>
                </c:pt>
                <c:pt idx="200">
                  <c:v>38129.65972222222</c:v>
                </c:pt>
                <c:pt idx="201">
                  <c:v>38130.98055555556</c:v>
                </c:pt>
                <c:pt idx="202">
                  <c:v>38131.349583333336</c:v>
                </c:pt>
                <c:pt idx="203">
                  <c:v>38132.6125</c:v>
                </c:pt>
                <c:pt idx="204">
                  <c:v>38133.61736111111</c:v>
                </c:pt>
                <c:pt idx="205">
                  <c:v>38134.68194444444</c:v>
                </c:pt>
                <c:pt idx="206">
                  <c:v>38135.65833333333</c:v>
                </c:pt>
                <c:pt idx="207">
                  <c:v>38136.71319444444</c:v>
                </c:pt>
                <c:pt idx="208">
                  <c:v>38137.75763888889</c:v>
                </c:pt>
                <c:pt idx="209">
                  <c:v>38138.802777777775</c:v>
                </c:pt>
                <c:pt idx="210">
                  <c:v>38139.68125</c:v>
                </c:pt>
                <c:pt idx="211">
                  <c:v>38140.64027777778</c:v>
                </c:pt>
                <c:pt idx="212">
                  <c:v>38141.69583333333</c:v>
                </c:pt>
                <c:pt idx="213">
                  <c:v>38142.70208333333</c:v>
                </c:pt>
                <c:pt idx="214">
                  <c:v>38143.55069444444</c:v>
                </c:pt>
                <c:pt idx="215">
                  <c:v>38144.839583333334</c:v>
                </c:pt>
                <c:pt idx="216">
                  <c:v>38145.13680555556</c:v>
                </c:pt>
                <c:pt idx="217">
                  <c:v>38146.14722222222</c:v>
                </c:pt>
                <c:pt idx="218">
                  <c:v>38147.17222222222</c:v>
                </c:pt>
                <c:pt idx="219">
                  <c:v>38148.26666666667</c:v>
                </c:pt>
                <c:pt idx="220">
                  <c:v>38149.60138888889</c:v>
                </c:pt>
                <c:pt idx="221">
                  <c:v>38150.555555555555</c:v>
                </c:pt>
                <c:pt idx="222">
                  <c:v>38151.92986111111</c:v>
                </c:pt>
                <c:pt idx="223">
                  <c:v>38152.90625</c:v>
                </c:pt>
                <c:pt idx="224">
                  <c:v>38153.66111111111</c:v>
                </c:pt>
                <c:pt idx="225">
                  <c:v>38154.59652777778</c:v>
                </c:pt>
                <c:pt idx="226">
                  <c:v>38155.62291666667</c:v>
                </c:pt>
                <c:pt idx="227">
                  <c:v>38156.260416666664</c:v>
                </c:pt>
                <c:pt idx="228">
                  <c:v>38157.26388888889</c:v>
                </c:pt>
                <c:pt idx="229">
                  <c:v>38158.270833333336</c:v>
                </c:pt>
                <c:pt idx="230">
                  <c:v>38159.82708333333</c:v>
                </c:pt>
                <c:pt idx="231">
                  <c:v>38160.58194444444</c:v>
                </c:pt>
                <c:pt idx="232">
                  <c:v>38161.29861111111</c:v>
                </c:pt>
                <c:pt idx="233">
                  <c:v>38162.26666666667</c:v>
                </c:pt>
                <c:pt idx="234">
                  <c:v>38163.23611111111</c:v>
                </c:pt>
                <c:pt idx="235">
                  <c:v>38164.29583333333</c:v>
                </c:pt>
                <c:pt idx="236">
                  <c:v>38165.885416666664</c:v>
                </c:pt>
                <c:pt idx="237">
                  <c:v>38166.44513888889</c:v>
                </c:pt>
                <c:pt idx="238">
                  <c:v>38167.32986111111</c:v>
                </c:pt>
                <c:pt idx="239">
                  <c:v>38168.6375</c:v>
                </c:pt>
                <c:pt idx="240">
                  <c:v>38169.57708333333</c:v>
                </c:pt>
                <c:pt idx="241">
                  <c:v>38170.61041666667</c:v>
                </c:pt>
                <c:pt idx="242">
                  <c:v>38171.822916666664</c:v>
                </c:pt>
                <c:pt idx="243">
                  <c:v>38172.74097222222</c:v>
                </c:pt>
                <c:pt idx="244">
                  <c:v>38173.875</c:v>
                </c:pt>
                <c:pt idx="245">
                  <c:v>38174.67222222222</c:v>
                </c:pt>
                <c:pt idx="246">
                  <c:v>38175.620833333334</c:v>
                </c:pt>
                <c:pt idx="247">
                  <c:v>38176.7125</c:v>
                </c:pt>
                <c:pt idx="248">
                  <c:v>38177.63680555556</c:v>
                </c:pt>
                <c:pt idx="249">
                  <c:v>38178.674305555556</c:v>
                </c:pt>
                <c:pt idx="250">
                  <c:v>38179.91736111111</c:v>
                </c:pt>
                <c:pt idx="251">
                  <c:v>38180.947222222225</c:v>
                </c:pt>
                <c:pt idx="252">
                  <c:v>38181.70277777778</c:v>
                </c:pt>
                <c:pt idx="253">
                  <c:v>38182.6375</c:v>
                </c:pt>
                <c:pt idx="254">
                  <c:v>38183.61319444444</c:v>
                </c:pt>
                <c:pt idx="255">
                  <c:v>38184.63055555556</c:v>
                </c:pt>
                <c:pt idx="256">
                  <c:v>38185.15833333333</c:v>
                </c:pt>
                <c:pt idx="257">
                  <c:v>38186.220138888886</c:v>
                </c:pt>
                <c:pt idx="258">
                  <c:v>38187.18819444445</c:v>
                </c:pt>
                <c:pt idx="259">
                  <c:v>38188.23472222222</c:v>
                </c:pt>
                <c:pt idx="260">
                  <c:v>38189.42152777778</c:v>
                </c:pt>
                <c:pt idx="261">
                  <c:v>38190.592361111114</c:v>
                </c:pt>
                <c:pt idx="262">
                  <c:v>38191.57986111111</c:v>
                </c:pt>
                <c:pt idx="263">
                  <c:v>38192.21111111111</c:v>
                </c:pt>
                <c:pt idx="264">
                  <c:v>38193.842361111114</c:v>
                </c:pt>
                <c:pt idx="265">
                  <c:v>38194.74166666667</c:v>
                </c:pt>
                <c:pt idx="266">
                  <c:v>38195.65833333333</c:v>
                </c:pt>
                <c:pt idx="267">
                  <c:v>38196.69583333333</c:v>
                </c:pt>
                <c:pt idx="268">
                  <c:v>38197.60277777778</c:v>
                </c:pt>
                <c:pt idx="269">
                  <c:v>38198.54583333333</c:v>
                </c:pt>
                <c:pt idx="270">
                  <c:v>38199.58125</c:v>
                </c:pt>
                <c:pt idx="271">
                  <c:v>38200.79861111111</c:v>
                </c:pt>
                <c:pt idx="272">
                  <c:v>38201.69513888889</c:v>
                </c:pt>
                <c:pt idx="273">
                  <c:v>38202.71319444444</c:v>
                </c:pt>
                <c:pt idx="274">
                  <c:v>38203.677083333336</c:v>
                </c:pt>
                <c:pt idx="275">
                  <c:v>38204.66111111111</c:v>
                </c:pt>
                <c:pt idx="276">
                  <c:v>38205.47430555556</c:v>
                </c:pt>
                <c:pt idx="277">
                  <c:v>38206.62777777778</c:v>
                </c:pt>
                <c:pt idx="278">
                  <c:v>38207.94930555556</c:v>
                </c:pt>
                <c:pt idx="279">
                  <c:v>38208.92152777778</c:v>
                </c:pt>
                <c:pt idx="280">
                  <c:v>38209.34027777778</c:v>
                </c:pt>
                <c:pt idx="281">
                  <c:v>38210.592361111114</c:v>
                </c:pt>
                <c:pt idx="282">
                  <c:v>38211.635416666664</c:v>
                </c:pt>
                <c:pt idx="283">
                  <c:v>38212.62708333333</c:v>
                </c:pt>
                <c:pt idx="284">
                  <c:v>38213.60486111111</c:v>
                </c:pt>
                <c:pt idx="285">
                  <c:v>38214.87847222222</c:v>
                </c:pt>
                <c:pt idx="286">
                  <c:v>38215.743055555555</c:v>
                </c:pt>
                <c:pt idx="287">
                  <c:v>38216.61944444444</c:v>
                </c:pt>
                <c:pt idx="288">
                  <c:v>38217.58888888889</c:v>
                </c:pt>
                <c:pt idx="289">
                  <c:v>38218.60763888889</c:v>
                </c:pt>
                <c:pt idx="290">
                  <c:v>38219.638194444444</c:v>
                </c:pt>
                <c:pt idx="291">
                  <c:v>38220.614583333336</c:v>
                </c:pt>
                <c:pt idx="292">
                  <c:v>38221.81875</c:v>
                </c:pt>
                <c:pt idx="293">
                  <c:v>38222.82847222222</c:v>
                </c:pt>
                <c:pt idx="294">
                  <c:v>38223.77847222222</c:v>
                </c:pt>
                <c:pt idx="295">
                  <c:v>38224.7</c:v>
                </c:pt>
                <c:pt idx="296">
                  <c:v>38225.76944444444</c:v>
                </c:pt>
                <c:pt idx="297">
                  <c:v>38226.947222222225</c:v>
                </c:pt>
                <c:pt idx="298">
                  <c:v>38227.623611111114</c:v>
                </c:pt>
                <c:pt idx="299">
                  <c:v>38228.717361111114</c:v>
                </c:pt>
                <c:pt idx="300">
                  <c:v>38229.955555555556</c:v>
                </c:pt>
                <c:pt idx="301">
                  <c:v>38230.95416666667</c:v>
                </c:pt>
                <c:pt idx="302">
                  <c:v>38231.868055555555</c:v>
                </c:pt>
                <c:pt idx="303">
                  <c:v>38232.81180555555</c:v>
                </c:pt>
                <c:pt idx="304">
                  <c:v>38233.96666666667</c:v>
                </c:pt>
                <c:pt idx="305">
                  <c:v>38234.63125</c:v>
                </c:pt>
                <c:pt idx="306">
                  <c:v>38235.82916666667</c:v>
                </c:pt>
                <c:pt idx="307">
                  <c:v>38236.91111111111</c:v>
                </c:pt>
                <c:pt idx="308">
                  <c:v>38237.68125</c:v>
                </c:pt>
                <c:pt idx="309">
                  <c:v>38238.53125</c:v>
                </c:pt>
                <c:pt idx="310">
                  <c:v>38239.63680555556</c:v>
                </c:pt>
                <c:pt idx="311">
                  <c:v>38240.63125</c:v>
                </c:pt>
                <c:pt idx="312">
                  <c:v>38241.60555555556</c:v>
                </c:pt>
                <c:pt idx="313">
                  <c:v>38242.92569444444</c:v>
                </c:pt>
                <c:pt idx="314">
                  <c:v>38243.78055555555</c:v>
                </c:pt>
                <c:pt idx="315">
                  <c:v>38244.646527777775</c:v>
                </c:pt>
                <c:pt idx="316">
                  <c:v>38245.29583333333</c:v>
                </c:pt>
                <c:pt idx="317">
                  <c:v>38246.59444444445</c:v>
                </c:pt>
                <c:pt idx="318">
                  <c:v>38247.64166666667</c:v>
                </c:pt>
                <c:pt idx="319">
                  <c:v>38248.2625</c:v>
                </c:pt>
                <c:pt idx="320">
                  <c:v>38249.88680555556</c:v>
                </c:pt>
                <c:pt idx="321">
                  <c:v>38250.73888888889</c:v>
                </c:pt>
                <c:pt idx="322">
                  <c:v>38251.57083333333</c:v>
                </c:pt>
                <c:pt idx="323">
                  <c:v>38252.555555555555</c:v>
                </c:pt>
                <c:pt idx="324">
                  <c:v>38253.28958333333</c:v>
                </c:pt>
                <c:pt idx="325">
                  <c:v>38254.629166666666</c:v>
                </c:pt>
                <c:pt idx="326">
                  <c:v>38255.61388888889</c:v>
                </c:pt>
                <c:pt idx="327">
                  <c:v>38256.84166666667</c:v>
                </c:pt>
                <c:pt idx="328">
                  <c:v>38257.79583333333</c:v>
                </c:pt>
                <c:pt idx="329">
                  <c:v>38258.63888888889</c:v>
                </c:pt>
                <c:pt idx="330">
                  <c:v>38259.61666666667</c:v>
                </c:pt>
                <c:pt idx="331">
                  <c:v>38260.55347222222</c:v>
                </c:pt>
                <c:pt idx="332">
                  <c:v>38261.561111111114</c:v>
                </c:pt>
                <c:pt idx="333">
                  <c:v>38262.58541666667</c:v>
                </c:pt>
                <c:pt idx="334">
                  <c:v>38263.925</c:v>
                </c:pt>
                <c:pt idx="335">
                  <c:v>38264.88402777778</c:v>
                </c:pt>
                <c:pt idx="336">
                  <c:v>38265.66736111111</c:v>
                </c:pt>
                <c:pt idx="337">
                  <c:v>38266.646527777775</c:v>
                </c:pt>
                <c:pt idx="338">
                  <c:v>38267.631944444445</c:v>
                </c:pt>
                <c:pt idx="339">
                  <c:v>38268.69652777778</c:v>
                </c:pt>
                <c:pt idx="340">
                  <c:v>38269.674305555556</c:v>
                </c:pt>
                <c:pt idx="341">
                  <c:v>38270.80902777778</c:v>
                </c:pt>
                <c:pt idx="342">
                  <c:v>38271.91736111111</c:v>
                </c:pt>
                <c:pt idx="343">
                  <c:v>38272.59375</c:v>
                </c:pt>
                <c:pt idx="344">
                  <c:v>38273.59444444445</c:v>
                </c:pt>
                <c:pt idx="345">
                  <c:v>38274.62777777778</c:v>
                </c:pt>
                <c:pt idx="346">
                  <c:v>38275.64513888889</c:v>
                </c:pt>
                <c:pt idx="347">
                  <c:v>38276.69375</c:v>
                </c:pt>
                <c:pt idx="348">
                  <c:v>38277.845138888886</c:v>
                </c:pt>
                <c:pt idx="349">
                  <c:v>38278.950694444444</c:v>
                </c:pt>
                <c:pt idx="350">
                  <c:v>38279.74444444444</c:v>
                </c:pt>
                <c:pt idx="351">
                  <c:v>38280.60902777778</c:v>
                </c:pt>
                <c:pt idx="352">
                  <c:v>38281.6375</c:v>
                </c:pt>
                <c:pt idx="353">
                  <c:v>38282.62569444445</c:v>
                </c:pt>
                <c:pt idx="354">
                  <c:v>38283.68472222222</c:v>
                </c:pt>
                <c:pt idx="355">
                  <c:v>38284.899305555555</c:v>
                </c:pt>
                <c:pt idx="356">
                  <c:v>38285.861805555556</c:v>
                </c:pt>
                <c:pt idx="357">
                  <c:v>38286.55694444444</c:v>
                </c:pt>
                <c:pt idx="358">
                  <c:v>38287.62013888889</c:v>
                </c:pt>
                <c:pt idx="359">
                  <c:v>38288.68958333333</c:v>
                </c:pt>
                <c:pt idx="360">
                  <c:v>38289.62777777778</c:v>
                </c:pt>
                <c:pt idx="361">
                  <c:v>38290.56319444445</c:v>
                </c:pt>
                <c:pt idx="362">
                  <c:v>38291.89444444444</c:v>
                </c:pt>
                <c:pt idx="363">
                  <c:v>38292.768055555556</c:v>
                </c:pt>
              </c:strCache>
            </c:strRef>
          </c:xVal>
          <c:yVal>
            <c:numRef>
              <c:f>ECEst!$M$2:$M$367</c:f>
              <c:numCache>
                <c:ptCount val="366"/>
                <c:pt idx="123">
                  <c:v>76</c:v>
                </c:pt>
                <c:pt idx="124">
                  <c:v>76</c:v>
                </c:pt>
                <c:pt idx="125">
                  <c:v>76</c:v>
                </c:pt>
                <c:pt idx="126">
                  <c:v>76</c:v>
                </c:pt>
                <c:pt idx="127">
                  <c:v>76</c:v>
                </c:pt>
                <c:pt idx="128">
                  <c:v>76</c:v>
                </c:pt>
                <c:pt idx="129">
                  <c:v>76</c:v>
                </c:pt>
                <c:pt idx="130">
                  <c:v>76</c:v>
                </c:pt>
                <c:pt idx="131">
                  <c:v>76</c:v>
                </c:pt>
                <c:pt idx="132">
                  <c:v>76</c:v>
                </c:pt>
                <c:pt idx="133">
                  <c:v>76</c:v>
                </c:pt>
                <c:pt idx="134">
                  <c:v>76</c:v>
                </c:pt>
                <c:pt idx="135">
                  <c:v>76</c:v>
                </c:pt>
                <c:pt idx="136">
                  <c:v>76</c:v>
                </c:pt>
                <c:pt idx="137">
                  <c:v>76</c:v>
                </c:pt>
                <c:pt idx="138">
                  <c:v>66</c:v>
                </c:pt>
                <c:pt idx="139">
                  <c:v>66</c:v>
                </c:pt>
                <c:pt idx="140">
                  <c:v>66</c:v>
                </c:pt>
                <c:pt idx="141">
                  <c:v>71</c:v>
                </c:pt>
                <c:pt idx="142">
                  <c:v>61</c:v>
                </c:pt>
                <c:pt idx="143">
                  <c:v>61</c:v>
                </c:pt>
                <c:pt idx="144">
                  <c:v>61</c:v>
                </c:pt>
                <c:pt idx="145">
                  <c:v>61</c:v>
                </c:pt>
                <c:pt idx="146">
                  <c:v>61</c:v>
                </c:pt>
                <c:pt idx="147">
                  <c:v>61</c:v>
                </c:pt>
                <c:pt idx="148">
                  <c:v>71</c:v>
                </c:pt>
                <c:pt idx="149">
                  <c:v>71</c:v>
                </c:pt>
                <c:pt idx="150">
                  <c:v>71</c:v>
                </c:pt>
                <c:pt idx="151">
                  <c:v>71</c:v>
                </c:pt>
                <c:pt idx="152">
                  <c:v>71</c:v>
                </c:pt>
                <c:pt idx="153">
                  <c:v>71</c:v>
                </c:pt>
                <c:pt idx="154">
                  <c:v>71</c:v>
                </c:pt>
                <c:pt idx="155">
                  <c:v>71</c:v>
                </c:pt>
                <c:pt idx="156">
                  <c:v>71</c:v>
                </c:pt>
                <c:pt idx="157">
                  <c:v>71</c:v>
                </c:pt>
                <c:pt idx="158">
                  <c:v>71</c:v>
                </c:pt>
                <c:pt idx="159">
                  <c:v>66</c:v>
                </c:pt>
                <c:pt idx="160">
                  <c:v>66</c:v>
                </c:pt>
                <c:pt idx="161">
                  <c:v>66</c:v>
                </c:pt>
                <c:pt idx="162">
                  <c:v>62</c:v>
                </c:pt>
                <c:pt idx="163">
                  <c:v>74</c:v>
                </c:pt>
                <c:pt idx="164">
                  <c:v>83</c:v>
                </c:pt>
                <c:pt idx="165">
                  <c:v>88</c:v>
                </c:pt>
                <c:pt idx="166">
                  <c:v>88</c:v>
                </c:pt>
                <c:pt idx="167">
                  <c:v>88</c:v>
                </c:pt>
                <c:pt idx="168">
                  <c:v>88</c:v>
                </c:pt>
                <c:pt idx="169">
                  <c:v>88</c:v>
                </c:pt>
                <c:pt idx="170">
                  <c:v>88</c:v>
                </c:pt>
                <c:pt idx="171">
                  <c:v>88</c:v>
                </c:pt>
                <c:pt idx="172">
                  <c:v>88</c:v>
                </c:pt>
                <c:pt idx="173">
                  <c:v>88</c:v>
                </c:pt>
                <c:pt idx="174">
                  <c:v>88</c:v>
                </c:pt>
                <c:pt idx="175">
                  <c:v>88</c:v>
                </c:pt>
                <c:pt idx="176">
                  <c:v>76</c:v>
                </c:pt>
                <c:pt idx="177">
                  <c:v>76</c:v>
                </c:pt>
                <c:pt idx="178">
                  <c:v>61</c:v>
                </c:pt>
                <c:pt idx="179">
                  <c:v>65</c:v>
                </c:pt>
                <c:pt idx="180">
                  <c:v>65</c:v>
                </c:pt>
                <c:pt idx="181">
                  <c:v>65</c:v>
                </c:pt>
                <c:pt idx="182">
                  <c:v>65</c:v>
                </c:pt>
                <c:pt idx="183">
                  <c:v>65</c:v>
                </c:pt>
                <c:pt idx="184">
                  <c:v>65</c:v>
                </c:pt>
                <c:pt idx="185">
                  <c:v>65</c:v>
                </c:pt>
                <c:pt idx="186">
                  <c:v>65</c:v>
                </c:pt>
                <c:pt idx="187">
                  <c:v>65</c:v>
                </c:pt>
                <c:pt idx="188">
                  <c:v>65</c:v>
                </c:pt>
                <c:pt idx="189">
                  <c:v>65</c:v>
                </c:pt>
                <c:pt idx="190">
                  <c:v>65</c:v>
                </c:pt>
                <c:pt idx="191">
                  <c:v>65</c:v>
                </c:pt>
                <c:pt idx="192">
                  <c:v>65</c:v>
                </c:pt>
                <c:pt idx="193">
                  <c:v>65</c:v>
                </c:pt>
                <c:pt idx="194">
                  <c:v>65</c:v>
                </c:pt>
                <c:pt idx="195">
                  <c:v>65</c:v>
                </c:pt>
                <c:pt idx="196">
                  <c:v>65</c:v>
                </c:pt>
                <c:pt idx="197">
                  <c:v>65</c:v>
                </c:pt>
                <c:pt idx="198">
                  <c:v>65</c:v>
                </c:pt>
                <c:pt idx="199">
                  <c:v>65</c:v>
                </c:pt>
                <c:pt idx="200">
                  <c:v>44</c:v>
                </c:pt>
                <c:pt idx="201">
                  <c:v>44</c:v>
                </c:pt>
                <c:pt idx="202">
                  <c:v>44</c:v>
                </c:pt>
                <c:pt idx="203">
                  <c:v>44</c:v>
                </c:pt>
                <c:pt idx="204">
                  <c:v>44</c:v>
                </c:pt>
                <c:pt idx="205">
                  <c:v>44</c:v>
                </c:pt>
                <c:pt idx="206">
                  <c:v>44</c:v>
                </c:pt>
                <c:pt idx="207">
                  <c:v>44</c:v>
                </c:pt>
                <c:pt idx="208">
                  <c:v>44</c:v>
                </c:pt>
                <c:pt idx="209">
                  <c:v>44</c:v>
                </c:pt>
                <c:pt idx="210">
                  <c:v>44</c:v>
                </c:pt>
                <c:pt idx="211">
                  <c:v>44</c:v>
                </c:pt>
                <c:pt idx="212">
                  <c:v>44</c:v>
                </c:pt>
                <c:pt idx="213">
                  <c:v>44</c:v>
                </c:pt>
                <c:pt idx="214">
                  <c:v>44</c:v>
                </c:pt>
                <c:pt idx="215">
                  <c:v>44</c:v>
                </c:pt>
                <c:pt idx="216">
                  <c:v>44</c:v>
                </c:pt>
                <c:pt idx="217">
                  <c:v>44</c:v>
                </c:pt>
                <c:pt idx="218">
                  <c:v>44</c:v>
                </c:pt>
                <c:pt idx="219">
                  <c:v>44</c:v>
                </c:pt>
                <c:pt idx="220">
                  <c:v>44</c:v>
                </c:pt>
                <c:pt idx="221">
                  <c:v>44</c:v>
                </c:pt>
                <c:pt idx="222">
                  <c:v>44</c:v>
                </c:pt>
                <c:pt idx="223">
                  <c:v>44</c:v>
                </c:pt>
                <c:pt idx="224">
                  <c:v>44</c:v>
                </c:pt>
                <c:pt idx="225">
                  <c:v>44</c:v>
                </c:pt>
                <c:pt idx="226">
                  <c:v>44</c:v>
                </c:pt>
                <c:pt idx="227">
                  <c:v>34</c:v>
                </c:pt>
                <c:pt idx="228">
                  <c:v>34</c:v>
                </c:pt>
                <c:pt idx="229">
                  <c:v>34</c:v>
                </c:pt>
                <c:pt idx="230">
                  <c:v>34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34</c:v>
                </c:pt>
                <c:pt idx="241">
                  <c:v>34</c:v>
                </c:pt>
                <c:pt idx="242">
                  <c:v>34</c:v>
                </c:pt>
                <c:pt idx="243">
                  <c:v>34</c:v>
                </c:pt>
                <c:pt idx="244">
                  <c:v>34</c:v>
                </c:pt>
                <c:pt idx="245">
                  <c:v>34</c:v>
                </c:pt>
                <c:pt idx="246">
                  <c:v>34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12</c:v>
                </c:pt>
                <c:pt idx="275">
                  <c:v>12</c:v>
                </c:pt>
                <c:pt idx="276">
                  <c:v>12</c:v>
                </c:pt>
                <c:pt idx="277">
                  <c:v>12</c:v>
                </c:pt>
                <c:pt idx="278">
                  <c:v>29</c:v>
                </c:pt>
                <c:pt idx="279">
                  <c:v>29</c:v>
                </c:pt>
                <c:pt idx="280">
                  <c:v>29</c:v>
                </c:pt>
                <c:pt idx="281">
                  <c:v>29</c:v>
                </c:pt>
                <c:pt idx="282">
                  <c:v>29</c:v>
                </c:pt>
                <c:pt idx="283">
                  <c:v>29</c:v>
                </c:pt>
                <c:pt idx="284">
                  <c:v>29</c:v>
                </c:pt>
                <c:pt idx="285">
                  <c:v>29</c:v>
                </c:pt>
                <c:pt idx="286">
                  <c:v>29</c:v>
                </c:pt>
                <c:pt idx="287">
                  <c:v>29</c:v>
                </c:pt>
                <c:pt idx="288">
                  <c:v>29</c:v>
                </c:pt>
                <c:pt idx="289">
                  <c:v>29</c:v>
                </c:pt>
                <c:pt idx="290">
                  <c:v>29</c:v>
                </c:pt>
                <c:pt idx="291">
                  <c:v>29</c:v>
                </c:pt>
                <c:pt idx="292">
                  <c:v>12</c:v>
                </c:pt>
                <c:pt idx="293">
                  <c:v>12</c:v>
                </c:pt>
                <c:pt idx="294">
                  <c:v>12</c:v>
                </c:pt>
                <c:pt idx="295">
                  <c:v>12</c:v>
                </c:pt>
                <c:pt idx="296">
                  <c:v>12</c:v>
                </c:pt>
                <c:pt idx="297">
                  <c:v>12</c:v>
                </c:pt>
                <c:pt idx="298">
                  <c:v>12</c:v>
                </c:pt>
                <c:pt idx="299">
                  <c:v>12</c:v>
                </c:pt>
                <c:pt idx="300">
                  <c:v>12</c:v>
                </c:pt>
                <c:pt idx="301">
                  <c:v>12</c:v>
                </c:pt>
                <c:pt idx="302">
                  <c:v>12</c:v>
                </c:pt>
                <c:pt idx="303">
                  <c:v>12</c:v>
                </c:pt>
                <c:pt idx="304">
                  <c:v>12</c:v>
                </c:pt>
                <c:pt idx="305">
                  <c:v>12</c:v>
                </c:pt>
                <c:pt idx="306">
                  <c:v>12</c:v>
                </c:pt>
                <c:pt idx="307">
                  <c:v>12</c:v>
                </c:pt>
                <c:pt idx="308">
                  <c:v>12</c:v>
                </c:pt>
                <c:pt idx="309">
                  <c:v>29</c:v>
                </c:pt>
                <c:pt idx="310">
                  <c:v>29</c:v>
                </c:pt>
                <c:pt idx="311">
                  <c:v>55</c:v>
                </c:pt>
                <c:pt idx="312">
                  <c:v>55</c:v>
                </c:pt>
                <c:pt idx="313">
                  <c:v>55</c:v>
                </c:pt>
                <c:pt idx="314">
                  <c:v>50</c:v>
                </c:pt>
                <c:pt idx="315">
                  <c:v>50</c:v>
                </c:pt>
                <c:pt idx="316">
                  <c:v>50</c:v>
                </c:pt>
                <c:pt idx="317">
                  <c:v>50</c:v>
                </c:pt>
                <c:pt idx="318">
                  <c:v>57</c:v>
                </c:pt>
                <c:pt idx="319">
                  <c:v>62</c:v>
                </c:pt>
                <c:pt idx="320">
                  <c:v>62</c:v>
                </c:pt>
                <c:pt idx="321">
                  <c:v>62</c:v>
                </c:pt>
                <c:pt idx="322">
                  <c:v>72</c:v>
                </c:pt>
                <c:pt idx="323">
                  <c:v>67</c:v>
                </c:pt>
                <c:pt idx="324">
                  <c:v>67</c:v>
                </c:pt>
                <c:pt idx="325">
                  <c:v>58</c:v>
                </c:pt>
                <c:pt idx="326">
                  <c:v>41</c:v>
                </c:pt>
                <c:pt idx="327">
                  <c:v>50</c:v>
                </c:pt>
                <c:pt idx="328">
                  <c:v>50</c:v>
                </c:pt>
                <c:pt idx="329">
                  <c:v>50</c:v>
                </c:pt>
                <c:pt idx="330">
                  <c:v>29</c:v>
                </c:pt>
                <c:pt idx="331">
                  <c:v>29</c:v>
                </c:pt>
                <c:pt idx="332">
                  <c:v>19</c:v>
                </c:pt>
                <c:pt idx="333">
                  <c:v>-8</c:v>
                </c:pt>
                <c:pt idx="334">
                  <c:v>-12</c:v>
                </c:pt>
                <c:pt idx="335">
                  <c:v>-22</c:v>
                </c:pt>
                <c:pt idx="336">
                  <c:v>-22</c:v>
                </c:pt>
                <c:pt idx="337">
                  <c:v>-8</c:v>
                </c:pt>
                <c:pt idx="338">
                  <c:v>-8</c:v>
                </c:pt>
                <c:pt idx="339">
                  <c:v>-8</c:v>
                </c:pt>
                <c:pt idx="340">
                  <c:v>-8</c:v>
                </c:pt>
                <c:pt idx="341">
                  <c:v>-35</c:v>
                </c:pt>
                <c:pt idx="342">
                  <c:v>-35</c:v>
                </c:pt>
                <c:pt idx="343">
                  <c:v>-35</c:v>
                </c:pt>
                <c:pt idx="344">
                  <c:v>-17</c:v>
                </c:pt>
                <c:pt idx="345">
                  <c:v>-44</c:v>
                </c:pt>
                <c:pt idx="346">
                  <c:v>-17</c:v>
                </c:pt>
                <c:pt idx="347">
                  <c:v>-17</c:v>
                </c:pt>
                <c:pt idx="348">
                  <c:v>-17</c:v>
                </c:pt>
                <c:pt idx="349">
                  <c:v>-17</c:v>
                </c:pt>
                <c:pt idx="350">
                  <c:v>-17</c:v>
                </c:pt>
                <c:pt idx="351">
                  <c:v>-8</c:v>
                </c:pt>
                <c:pt idx="352">
                  <c:v>-8</c:v>
                </c:pt>
                <c:pt idx="353">
                  <c:v>-28</c:v>
                </c:pt>
                <c:pt idx="354">
                  <c:v>-15</c:v>
                </c:pt>
                <c:pt idx="355">
                  <c:v>-15</c:v>
                </c:pt>
                <c:pt idx="356">
                  <c:v>-37</c:v>
                </c:pt>
                <c:pt idx="357">
                  <c:v>-37</c:v>
                </c:pt>
                <c:pt idx="358">
                  <c:v>-17</c:v>
                </c:pt>
                <c:pt idx="359">
                  <c:v>-42</c:v>
                </c:pt>
                <c:pt idx="360">
                  <c:v>-42</c:v>
                </c:pt>
                <c:pt idx="361">
                  <c:v>-42</c:v>
                </c:pt>
                <c:pt idx="362">
                  <c:v>-42</c:v>
                </c:pt>
                <c:pt idx="363">
                  <c:v>-22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ECEst!$L$1</c:f>
              <c:strCache>
                <c:ptCount val="1"/>
                <c:pt idx="0">
                  <c:v>Obama Lean</c:v>
                </c:pt>
              </c:strCache>
            </c:strRef>
          </c:tx>
          <c:spPr>
            <a:ln w="381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ECEst!$A$2:$A$367</c:f>
              <c:strCache>
                <c:ptCount val="366"/>
                <c:pt idx="123">
                  <c:v>38052.6625</c:v>
                </c:pt>
                <c:pt idx="124">
                  <c:v>38053.84722222222</c:v>
                </c:pt>
                <c:pt idx="125">
                  <c:v>38054.99513888889</c:v>
                </c:pt>
                <c:pt idx="126">
                  <c:v>38055.725694444445</c:v>
                </c:pt>
                <c:pt idx="127">
                  <c:v>38056.33541666667</c:v>
                </c:pt>
                <c:pt idx="128">
                  <c:v>38057.373611111114</c:v>
                </c:pt>
                <c:pt idx="129">
                  <c:v>38058.3375</c:v>
                </c:pt>
                <c:pt idx="130">
                  <c:v>38059.643055555556</c:v>
                </c:pt>
                <c:pt idx="131">
                  <c:v>38060.873611111114</c:v>
                </c:pt>
                <c:pt idx="132">
                  <c:v>38061.041666666664</c:v>
                </c:pt>
                <c:pt idx="133">
                  <c:v>38062.25625</c:v>
                </c:pt>
                <c:pt idx="134">
                  <c:v>38063.31805555556</c:v>
                </c:pt>
                <c:pt idx="135">
                  <c:v>38064.69930555556</c:v>
                </c:pt>
                <c:pt idx="136">
                  <c:v>38065.30347222222</c:v>
                </c:pt>
                <c:pt idx="137">
                  <c:v>38066.29513888889</c:v>
                </c:pt>
                <c:pt idx="138">
                  <c:v>38067.75069444445</c:v>
                </c:pt>
                <c:pt idx="139">
                  <c:v>38068.97708333333</c:v>
                </c:pt>
                <c:pt idx="140">
                  <c:v>38069.3125</c:v>
                </c:pt>
                <c:pt idx="141">
                  <c:v>38070.35833333333</c:v>
                </c:pt>
                <c:pt idx="142">
                  <c:v>38071.34444444445</c:v>
                </c:pt>
                <c:pt idx="143">
                  <c:v>38072.30347222222</c:v>
                </c:pt>
                <c:pt idx="144">
                  <c:v>38073.23819444444</c:v>
                </c:pt>
                <c:pt idx="145">
                  <c:v>38074.927083333336</c:v>
                </c:pt>
                <c:pt idx="146">
                  <c:v>38075.16527777778</c:v>
                </c:pt>
                <c:pt idx="147">
                  <c:v>38076.79375</c:v>
                </c:pt>
                <c:pt idx="148">
                  <c:v>38077.28611111111</c:v>
                </c:pt>
                <c:pt idx="149">
                  <c:v>38078.365277777775</c:v>
                </c:pt>
                <c:pt idx="150">
                  <c:v>38079.70208333333</c:v>
                </c:pt>
                <c:pt idx="151">
                  <c:v>38080.11111111111</c:v>
                </c:pt>
                <c:pt idx="152">
                  <c:v>38081.200694444444</c:v>
                </c:pt>
                <c:pt idx="153">
                  <c:v>38082.92638888889</c:v>
                </c:pt>
                <c:pt idx="154">
                  <c:v>38083.67986111111</c:v>
                </c:pt>
                <c:pt idx="155">
                  <c:v>38084.67361111111</c:v>
                </c:pt>
                <c:pt idx="156">
                  <c:v>38085.646527777775</c:v>
                </c:pt>
                <c:pt idx="157">
                  <c:v>38086.68680555555</c:v>
                </c:pt>
                <c:pt idx="158">
                  <c:v>38087.60763888889</c:v>
                </c:pt>
                <c:pt idx="159">
                  <c:v>38088.96944444445</c:v>
                </c:pt>
                <c:pt idx="160">
                  <c:v>38089.657638888886</c:v>
                </c:pt>
                <c:pt idx="161">
                  <c:v>38090.65972222222</c:v>
                </c:pt>
                <c:pt idx="162">
                  <c:v>38091.631944444445</c:v>
                </c:pt>
                <c:pt idx="163">
                  <c:v>38092.65833333333</c:v>
                </c:pt>
                <c:pt idx="164">
                  <c:v>38093.67986111111</c:v>
                </c:pt>
                <c:pt idx="165">
                  <c:v>38094.95138888889</c:v>
                </c:pt>
                <c:pt idx="166">
                  <c:v>38095.84097222222</c:v>
                </c:pt>
                <c:pt idx="167">
                  <c:v>38096.74930555555</c:v>
                </c:pt>
                <c:pt idx="168">
                  <c:v>38097.30416666667</c:v>
                </c:pt>
                <c:pt idx="169">
                  <c:v>38098.3875</c:v>
                </c:pt>
                <c:pt idx="170">
                  <c:v>38099.33472222222</c:v>
                </c:pt>
                <c:pt idx="171">
                  <c:v>38100.694444444445</c:v>
                </c:pt>
                <c:pt idx="172">
                  <c:v>38101.67638888889</c:v>
                </c:pt>
                <c:pt idx="173">
                  <c:v>38102.9625</c:v>
                </c:pt>
                <c:pt idx="174">
                  <c:v>38103.82916666667</c:v>
                </c:pt>
                <c:pt idx="175">
                  <c:v>38104.56805555556</c:v>
                </c:pt>
                <c:pt idx="176">
                  <c:v>38105.59166666667</c:v>
                </c:pt>
                <c:pt idx="177">
                  <c:v>38106.64444444444</c:v>
                </c:pt>
                <c:pt idx="178">
                  <c:v>38107.53958333333</c:v>
                </c:pt>
                <c:pt idx="179">
                  <c:v>38108.665972222225</c:v>
                </c:pt>
                <c:pt idx="180">
                  <c:v>38109.850694444445</c:v>
                </c:pt>
                <c:pt idx="181">
                  <c:v>38110.65694444445</c:v>
                </c:pt>
                <c:pt idx="182">
                  <c:v>38111.544444444444</c:v>
                </c:pt>
                <c:pt idx="183">
                  <c:v>38112.572222222225</c:v>
                </c:pt>
                <c:pt idx="184">
                  <c:v>38113.65347222222</c:v>
                </c:pt>
                <c:pt idx="185">
                  <c:v>38114.59166666667</c:v>
                </c:pt>
                <c:pt idx="186">
                  <c:v>38115.39236111111</c:v>
                </c:pt>
                <c:pt idx="187">
                  <c:v>38116.78611111111</c:v>
                </c:pt>
                <c:pt idx="188">
                  <c:v>38117.96875</c:v>
                </c:pt>
                <c:pt idx="189">
                  <c:v>38118.552083333336</c:v>
                </c:pt>
                <c:pt idx="190">
                  <c:v>38119.325694444444</c:v>
                </c:pt>
                <c:pt idx="191">
                  <c:v>38120.7125</c:v>
                </c:pt>
                <c:pt idx="192">
                  <c:v>38121.64236111111</c:v>
                </c:pt>
                <c:pt idx="193">
                  <c:v>38122.57847222222</c:v>
                </c:pt>
                <c:pt idx="194">
                  <c:v>38123.86736111111</c:v>
                </c:pt>
                <c:pt idx="195">
                  <c:v>38124.743055555555</c:v>
                </c:pt>
                <c:pt idx="196">
                  <c:v>38125.64375</c:v>
                </c:pt>
                <c:pt idx="197">
                  <c:v>38126.64513888889</c:v>
                </c:pt>
                <c:pt idx="198">
                  <c:v>38127.65277777778</c:v>
                </c:pt>
                <c:pt idx="199">
                  <c:v>38128.5875</c:v>
                </c:pt>
                <c:pt idx="200">
                  <c:v>38129.65972222222</c:v>
                </c:pt>
                <c:pt idx="201">
                  <c:v>38130.98055555556</c:v>
                </c:pt>
                <c:pt idx="202">
                  <c:v>38131.349583333336</c:v>
                </c:pt>
                <c:pt idx="203">
                  <c:v>38132.6125</c:v>
                </c:pt>
                <c:pt idx="204">
                  <c:v>38133.61736111111</c:v>
                </c:pt>
                <c:pt idx="205">
                  <c:v>38134.68194444444</c:v>
                </c:pt>
                <c:pt idx="206">
                  <c:v>38135.65833333333</c:v>
                </c:pt>
                <c:pt idx="207">
                  <c:v>38136.71319444444</c:v>
                </c:pt>
                <c:pt idx="208">
                  <c:v>38137.75763888889</c:v>
                </c:pt>
                <c:pt idx="209">
                  <c:v>38138.802777777775</c:v>
                </c:pt>
                <c:pt idx="210">
                  <c:v>38139.68125</c:v>
                </c:pt>
                <c:pt idx="211">
                  <c:v>38140.64027777778</c:v>
                </c:pt>
                <c:pt idx="212">
                  <c:v>38141.69583333333</c:v>
                </c:pt>
                <c:pt idx="213">
                  <c:v>38142.70208333333</c:v>
                </c:pt>
                <c:pt idx="214">
                  <c:v>38143.55069444444</c:v>
                </c:pt>
                <c:pt idx="215">
                  <c:v>38144.839583333334</c:v>
                </c:pt>
                <c:pt idx="216">
                  <c:v>38145.13680555556</c:v>
                </c:pt>
                <c:pt idx="217">
                  <c:v>38146.14722222222</c:v>
                </c:pt>
                <c:pt idx="218">
                  <c:v>38147.17222222222</c:v>
                </c:pt>
                <c:pt idx="219">
                  <c:v>38148.26666666667</c:v>
                </c:pt>
                <c:pt idx="220">
                  <c:v>38149.60138888889</c:v>
                </c:pt>
                <c:pt idx="221">
                  <c:v>38150.555555555555</c:v>
                </c:pt>
                <c:pt idx="222">
                  <c:v>38151.92986111111</c:v>
                </c:pt>
                <c:pt idx="223">
                  <c:v>38152.90625</c:v>
                </c:pt>
                <c:pt idx="224">
                  <c:v>38153.66111111111</c:v>
                </c:pt>
                <c:pt idx="225">
                  <c:v>38154.59652777778</c:v>
                </c:pt>
                <c:pt idx="226">
                  <c:v>38155.62291666667</c:v>
                </c:pt>
                <c:pt idx="227">
                  <c:v>38156.260416666664</c:v>
                </c:pt>
                <c:pt idx="228">
                  <c:v>38157.26388888889</c:v>
                </c:pt>
                <c:pt idx="229">
                  <c:v>38158.270833333336</c:v>
                </c:pt>
                <c:pt idx="230">
                  <c:v>38159.82708333333</c:v>
                </c:pt>
                <c:pt idx="231">
                  <c:v>38160.58194444444</c:v>
                </c:pt>
                <c:pt idx="232">
                  <c:v>38161.29861111111</c:v>
                </c:pt>
                <c:pt idx="233">
                  <c:v>38162.26666666667</c:v>
                </c:pt>
                <c:pt idx="234">
                  <c:v>38163.23611111111</c:v>
                </c:pt>
                <c:pt idx="235">
                  <c:v>38164.29583333333</c:v>
                </c:pt>
                <c:pt idx="236">
                  <c:v>38165.885416666664</c:v>
                </c:pt>
                <c:pt idx="237">
                  <c:v>38166.44513888889</c:v>
                </c:pt>
                <c:pt idx="238">
                  <c:v>38167.32986111111</c:v>
                </c:pt>
                <c:pt idx="239">
                  <c:v>38168.6375</c:v>
                </c:pt>
                <c:pt idx="240">
                  <c:v>38169.57708333333</c:v>
                </c:pt>
                <c:pt idx="241">
                  <c:v>38170.61041666667</c:v>
                </c:pt>
                <c:pt idx="242">
                  <c:v>38171.822916666664</c:v>
                </c:pt>
                <c:pt idx="243">
                  <c:v>38172.74097222222</c:v>
                </c:pt>
                <c:pt idx="244">
                  <c:v>38173.875</c:v>
                </c:pt>
                <c:pt idx="245">
                  <c:v>38174.67222222222</c:v>
                </c:pt>
                <c:pt idx="246">
                  <c:v>38175.620833333334</c:v>
                </c:pt>
                <c:pt idx="247">
                  <c:v>38176.7125</c:v>
                </c:pt>
                <c:pt idx="248">
                  <c:v>38177.63680555556</c:v>
                </c:pt>
                <c:pt idx="249">
                  <c:v>38178.674305555556</c:v>
                </c:pt>
                <c:pt idx="250">
                  <c:v>38179.91736111111</c:v>
                </c:pt>
                <c:pt idx="251">
                  <c:v>38180.947222222225</c:v>
                </c:pt>
                <c:pt idx="252">
                  <c:v>38181.70277777778</c:v>
                </c:pt>
                <c:pt idx="253">
                  <c:v>38182.6375</c:v>
                </c:pt>
                <c:pt idx="254">
                  <c:v>38183.61319444444</c:v>
                </c:pt>
                <c:pt idx="255">
                  <c:v>38184.63055555556</c:v>
                </c:pt>
                <c:pt idx="256">
                  <c:v>38185.15833333333</c:v>
                </c:pt>
                <c:pt idx="257">
                  <c:v>38186.220138888886</c:v>
                </c:pt>
                <c:pt idx="258">
                  <c:v>38187.18819444445</c:v>
                </c:pt>
                <c:pt idx="259">
                  <c:v>38188.23472222222</c:v>
                </c:pt>
                <c:pt idx="260">
                  <c:v>38189.42152777778</c:v>
                </c:pt>
                <c:pt idx="261">
                  <c:v>38190.592361111114</c:v>
                </c:pt>
                <c:pt idx="262">
                  <c:v>38191.57986111111</c:v>
                </c:pt>
                <c:pt idx="263">
                  <c:v>38192.21111111111</c:v>
                </c:pt>
                <c:pt idx="264">
                  <c:v>38193.842361111114</c:v>
                </c:pt>
                <c:pt idx="265">
                  <c:v>38194.74166666667</c:v>
                </c:pt>
                <c:pt idx="266">
                  <c:v>38195.65833333333</c:v>
                </c:pt>
                <c:pt idx="267">
                  <c:v>38196.69583333333</c:v>
                </c:pt>
                <c:pt idx="268">
                  <c:v>38197.60277777778</c:v>
                </c:pt>
                <c:pt idx="269">
                  <c:v>38198.54583333333</c:v>
                </c:pt>
                <c:pt idx="270">
                  <c:v>38199.58125</c:v>
                </c:pt>
                <c:pt idx="271">
                  <c:v>38200.79861111111</c:v>
                </c:pt>
                <c:pt idx="272">
                  <c:v>38201.69513888889</c:v>
                </c:pt>
                <c:pt idx="273">
                  <c:v>38202.71319444444</c:v>
                </c:pt>
                <c:pt idx="274">
                  <c:v>38203.677083333336</c:v>
                </c:pt>
                <c:pt idx="275">
                  <c:v>38204.66111111111</c:v>
                </c:pt>
                <c:pt idx="276">
                  <c:v>38205.47430555556</c:v>
                </c:pt>
                <c:pt idx="277">
                  <c:v>38206.62777777778</c:v>
                </c:pt>
                <c:pt idx="278">
                  <c:v>38207.94930555556</c:v>
                </c:pt>
                <c:pt idx="279">
                  <c:v>38208.92152777778</c:v>
                </c:pt>
                <c:pt idx="280">
                  <c:v>38209.34027777778</c:v>
                </c:pt>
                <c:pt idx="281">
                  <c:v>38210.592361111114</c:v>
                </c:pt>
                <c:pt idx="282">
                  <c:v>38211.635416666664</c:v>
                </c:pt>
                <c:pt idx="283">
                  <c:v>38212.62708333333</c:v>
                </c:pt>
                <c:pt idx="284">
                  <c:v>38213.60486111111</c:v>
                </c:pt>
                <c:pt idx="285">
                  <c:v>38214.87847222222</c:v>
                </c:pt>
                <c:pt idx="286">
                  <c:v>38215.743055555555</c:v>
                </c:pt>
                <c:pt idx="287">
                  <c:v>38216.61944444444</c:v>
                </c:pt>
                <c:pt idx="288">
                  <c:v>38217.58888888889</c:v>
                </c:pt>
                <c:pt idx="289">
                  <c:v>38218.60763888889</c:v>
                </c:pt>
                <c:pt idx="290">
                  <c:v>38219.638194444444</c:v>
                </c:pt>
                <c:pt idx="291">
                  <c:v>38220.614583333336</c:v>
                </c:pt>
                <c:pt idx="292">
                  <c:v>38221.81875</c:v>
                </c:pt>
                <c:pt idx="293">
                  <c:v>38222.82847222222</c:v>
                </c:pt>
                <c:pt idx="294">
                  <c:v>38223.77847222222</c:v>
                </c:pt>
                <c:pt idx="295">
                  <c:v>38224.7</c:v>
                </c:pt>
                <c:pt idx="296">
                  <c:v>38225.76944444444</c:v>
                </c:pt>
                <c:pt idx="297">
                  <c:v>38226.947222222225</c:v>
                </c:pt>
                <c:pt idx="298">
                  <c:v>38227.623611111114</c:v>
                </c:pt>
                <c:pt idx="299">
                  <c:v>38228.717361111114</c:v>
                </c:pt>
                <c:pt idx="300">
                  <c:v>38229.955555555556</c:v>
                </c:pt>
                <c:pt idx="301">
                  <c:v>38230.95416666667</c:v>
                </c:pt>
                <c:pt idx="302">
                  <c:v>38231.868055555555</c:v>
                </c:pt>
                <c:pt idx="303">
                  <c:v>38232.81180555555</c:v>
                </c:pt>
                <c:pt idx="304">
                  <c:v>38233.96666666667</c:v>
                </c:pt>
                <c:pt idx="305">
                  <c:v>38234.63125</c:v>
                </c:pt>
                <c:pt idx="306">
                  <c:v>38235.82916666667</c:v>
                </c:pt>
                <c:pt idx="307">
                  <c:v>38236.91111111111</c:v>
                </c:pt>
                <c:pt idx="308">
                  <c:v>38237.68125</c:v>
                </c:pt>
                <c:pt idx="309">
                  <c:v>38238.53125</c:v>
                </c:pt>
                <c:pt idx="310">
                  <c:v>38239.63680555556</c:v>
                </c:pt>
                <c:pt idx="311">
                  <c:v>38240.63125</c:v>
                </c:pt>
                <c:pt idx="312">
                  <c:v>38241.60555555556</c:v>
                </c:pt>
                <c:pt idx="313">
                  <c:v>38242.92569444444</c:v>
                </c:pt>
                <c:pt idx="314">
                  <c:v>38243.78055555555</c:v>
                </c:pt>
                <c:pt idx="315">
                  <c:v>38244.646527777775</c:v>
                </c:pt>
                <c:pt idx="316">
                  <c:v>38245.29583333333</c:v>
                </c:pt>
                <c:pt idx="317">
                  <c:v>38246.59444444445</c:v>
                </c:pt>
                <c:pt idx="318">
                  <c:v>38247.64166666667</c:v>
                </c:pt>
                <c:pt idx="319">
                  <c:v>38248.2625</c:v>
                </c:pt>
                <c:pt idx="320">
                  <c:v>38249.88680555556</c:v>
                </c:pt>
                <c:pt idx="321">
                  <c:v>38250.73888888889</c:v>
                </c:pt>
                <c:pt idx="322">
                  <c:v>38251.57083333333</c:v>
                </c:pt>
                <c:pt idx="323">
                  <c:v>38252.555555555555</c:v>
                </c:pt>
                <c:pt idx="324">
                  <c:v>38253.28958333333</c:v>
                </c:pt>
                <c:pt idx="325">
                  <c:v>38254.629166666666</c:v>
                </c:pt>
                <c:pt idx="326">
                  <c:v>38255.61388888889</c:v>
                </c:pt>
                <c:pt idx="327">
                  <c:v>38256.84166666667</c:v>
                </c:pt>
                <c:pt idx="328">
                  <c:v>38257.79583333333</c:v>
                </c:pt>
                <c:pt idx="329">
                  <c:v>38258.63888888889</c:v>
                </c:pt>
                <c:pt idx="330">
                  <c:v>38259.61666666667</c:v>
                </c:pt>
                <c:pt idx="331">
                  <c:v>38260.55347222222</c:v>
                </c:pt>
                <c:pt idx="332">
                  <c:v>38261.561111111114</c:v>
                </c:pt>
                <c:pt idx="333">
                  <c:v>38262.58541666667</c:v>
                </c:pt>
                <c:pt idx="334">
                  <c:v>38263.925</c:v>
                </c:pt>
                <c:pt idx="335">
                  <c:v>38264.88402777778</c:v>
                </c:pt>
                <c:pt idx="336">
                  <c:v>38265.66736111111</c:v>
                </c:pt>
                <c:pt idx="337">
                  <c:v>38266.646527777775</c:v>
                </c:pt>
                <c:pt idx="338">
                  <c:v>38267.631944444445</c:v>
                </c:pt>
                <c:pt idx="339">
                  <c:v>38268.69652777778</c:v>
                </c:pt>
                <c:pt idx="340">
                  <c:v>38269.674305555556</c:v>
                </c:pt>
                <c:pt idx="341">
                  <c:v>38270.80902777778</c:v>
                </c:pt>
                <c:pt idx="342">
                  <c:v>38271.91736111111</c:v>
                </c:pt>
                <c:pt idx="343">
                  <c:v>38272.59375</c:v>
                </c:pt>
                <c:pt idx="344">
                  <c:v>38273.59444444445</c:v>
                </c:pt>
                <c:pt idx="345">
                  <c:v>38274.62777777778</c:v>
                </c:pt>
                <c:pt idx="346">
                  <c:v>38275.64513888889</c:v>
                </c:pt>
                <c:pt idx="347">
                  <c:v>38276.69375</c:v>
                </c:pt>
                <c:pt idx="348">
                  <c:v>38277.845138888886</c:v>
                </c:pt>
                <c:pt idx="349">
                  <c:v>38278.950694444444</c:v>
                </c:pt>
                <c:pt idx="350">
                  <c:v>38279.74444444444</c:v>
                </c:pt>
                <c:pt idx="351">
                  <c:v>38280.60902777778</c:v>
                </c:pt>
                <c:pt idx="352">
                  <c:v>38281.6375</c:v>
                </c:pt>
                <c:pt idx="353">
                  <c:v>38282.62569444445</c:v>
                </c:pt>
                <c:pt idx="354">
                  <c:v>38283.68472222222</c:v>
                </c:pt>
                <c:pt idx="355">
                  <c:v>38284.899305555555</c:v>
                </c:pt>
                <c:pt idx="356">
                  <c:v>38285.861805555556</c:v>
                </c:pt>
                <c:pt idx="357">
                  <c:v>38286.55694444444</c:v>
                </c:pt>
                <c:pt idx="358">
                  <c:v>38287.62013888889</c:v>
                </c:pt>
                <c:pt idx="359">
                  <c:v>38288.68958333333</c:v>
                </c:pt>
                <c:pt idx="360">
                  <c:v>38289.62777777778</c:v>
                </c:pt>
                <c:pt idx="361">
                  <c:v>38290.56319444445</c:v>
                </c:pt>
                <c:pt idx="362">
                  <c:v>38291.89444444444</c:v>
                </c:pt>
                <c:pt idx="363">
                  <c:v>38292.768055555556</c:v>
                </c:pt>
              </c:strCache>
            </c:strRef>
          </c:xVal>
          <c:yVal>
            <c:numRef>
              <c:f>ECEst!$L$2:$L$367</c:f>
              <c:numCache>
                <c:ptCount val="366"/>
                <c:pt idx="123">
                  <c:v>42</c:v>
                </c:pt>
                <c:pt idx="124">
                  <c:v>42</c:v>
                </c:pt>
                <c:pt idx="125">
                  <c:v>42</c:v>
                </c:pt>
                <c:pt idx="126">
                  <c:v>42</c:v>
                </c:pt>
                <c:pt idx="127">
                  <c:v>22</c:v>
                </c:pt>
                <c:pt idx="128">
                  <c:v>-14</c:v>
                </c:pt>
                <c:pt idx="129">
                  <c:v>7</c:v>
                </c:pt>
                <c:pt idx="130">
                  <c:v>7</c:v>
                </c:pt>
                <c:pt idx="131">
                  <c:v>27</c:v>
                </c:pt>
                <c:pt idx="132">
                  <c:v>27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27</c:v>
                </c:pt>
                <c:pt idx="137">
                  <c:v>27</c:v>
                </c:pt>
                <c:pt idx="138">
                  <c:v>17</c:v>
                </c:pt>
                <c:pt idx="139">
                  <c:v>17</c:v>
                </c:pt>
                <c:pt idx="140">
                  <c:v>17</c:v>
                </c:pt>
                <c:pt idx="141">
                  <c:v>17</c:v>
                </c:pt>
                <c:pt idx="142">
                  <c:v>17</c:v>
                </c:pt>
                <c:pt idx="143">
                  <c:v>17</c:v>
                </c:pt>
                <c:pt idx="144">
                  <c:v>17</c:v>
                </c:pt>
                <c:pt idx="145">
                  <c:v>17</c:v>
                </c:pt>
                <c:pt idx="146">
                  <c:v>17</c:v>
                </c:pt>
                <c:pt idx="147">
                  <c:v>17</c:v>
                </c:pt>
                <c:pt idx="148">
                  <c:v>17</c:v>
                </c:pt>
                <c:pt idx="149">
                  <c:v>17</c:v>
                </c:pt>
                <c:pt idx="150">
                  <c:v>17</c:v>
                </c:pt>
                <c:pt idx="151">
                  <c:v>17</c:v>
                </c:pt>
                <c:pt idx="152">
                  <c:v>17</c:v>
                </c:pt>
                <c:pt idx="153">
                  <c:v>17</c:v>
                </c:pt>
                <c:pt idx="154">
                  <c:v>17</c:v>
                </c:pt>
                <c:pt idx="155">
                  <c:v>17</c:v>
                </c:pt>
                <c:pt idx="156">
                  <c:v>17</c:v>
                </c:pt>
                <c:pt idx="157">
                  <c:v>17</c:v>
                </c:pt>
                <c:pt idx="158">
                  <c:v>17</c:v>
                </c:pt>
                <c:pt idx="159">
                  <c:v>12</c:v>
                </c:pt>
                <c:pt idx="160">
                  <c:v>12</c:v>
                </c:pt>
                <c:pt idx="161">
                  <c:v>12</c:v>
                </c:pt>
                <c:pt idx="162">
                  <c:v>-9</c:v>
                </c:pt>
                <c:pt idx="163">
                  <c:v>-9</c:v>
                </c:pt>
                <c:pt idx="164">
                  <c:v>-9</c:v>
                </c:pt>
                <c:pt idx="165">
                  <c:v>-9</c:v>
                </c:pt>
                <c:pt idx="166">
                  <c:v>-9</c:v>
                </c:pt>
                <c:pt idx="167">
                  <c:v>-9</c:v>
                </c:pt>
                <c:pt idx="168">
                  <c:v>12</c:v>
                </c:pt>
                <c:pt idx="169">
                  <c:v>12</c:v>
                </c:pt>
                <c:pt idx="170">
                  <c:v>12</c:v>
                </c:pt>
                <c:pt idx="171">
                  <c:v>12</c:v>
                </c:pt>
                <c:pt idx="172">
                  <c:v>12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33</c:v>
                </c:pt>
                <c:pt idx="189">
                  <c:v>33</c:v>
                </c:pt>
                <c:pt idx="190">
                  <c:v>33</c:v>
                </c:pt>
                <c:pt idx="191">
                  <c:v>33</c:v>
                </c:pt>
                <c:pt idx="192">
                  <c:v>36</c:v>
                </c:pt>
                <c:pt idx="193">
                  <c:v>36</c:v>
                </c:pt>
                <c:pt idx="194">
                  <c:v>36</c:v>
                </c:pt>
                <c:pt idx="195">
                  <c:v>36</c:v>
                </c:pt>
                <c:pt idx="196">
                  <c:v>36</c:v>
                </c:pt>
                <c:pt idx="197">
                  <c:v>36</c:v>
                </c:pt>
                <c:pt idx="198">
                  <c:v>15</c:v>
                </c:pt>
                <c:pt idx="199">
                  <c:v>15</c:v>
                </c:pt>
                <c:pt idx="200">
                  <c:v>-5</c:v>
                </c:pt>
                <c:pt idx="201">
                  <c:v>-5</c:v>
                </c:pt>
                <c:pt idx="202">
                  <c:v>-5</c:v>
                </c:pt>
                <c:pt idx="203">
                  <c:v>-5</c:v>
                </c:pt>
                <c:pt idx="204">
                  <c:v>-5</c:v>
                </c:pt>
                <c:pt idx="205">
                  <c:v>-5</c:v>
                </c:pt>
                <c:pt idx="206">
                  <c:v>-5</c:v>
                </c:pt>
                <c:pt idx="207">
                  <c:v>-5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-5</c:v>
                </c:pt>
                <c:pt idx="213">
                  <c:v>-5</c:v>
                </c:pt>
                <c:pt idx="214">
                  <c:v>-5</c:v>
                </c:pt>
                <c:pt idx="215">
                  <c:v>-5</c:v>
                </c:pt>
                <c:pt idx="216">
                  <c:v>-5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-5</c:v>
                </c:pt>
                <c:pt idx="221">
                  <c:v>-5</c:v>
                </c:pt>
                <c:pt idx="222">
                  <c:v>-5</c:v>
                </c:pt>
                <c:pt idx="223">
                  <c:v>-5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-4</c:v>
                </c:pt>
                <c:pt idx="230">
                  <c:v>-4</c:v>
                </c:pt>
                <c:pt idx="231">
                  <c:v>-4</c:v>
                </c:pt>
                <c:pt idx="232">
                  <c:v>-4</c:v>
                </c:pt>
                <c:pt idx="233">
                  <c:v>-21</c:v>
                </c:pt>
                <c:pt idx="234">
                  <c:v>-21</c:v>
                </c:pt>
                <c:pt idx="235">
                  <c:v>-21</c:v>
                </c:pt>
                <c:pt idx="236">
                  <c:v>-21</c:v>
                </c:pt>
                <c:pt idx="237">
                  <c:v>-21</c:v>
                </c:pt>
                <c:pt idx="238">
                  <c:v>-21</c:v>
                </c:pt>
                <c:pt idx="239">
                  <c:v>-34</c:v>
                </c:pt>
                <c:pt idx="240">
                  <c:v>-34</c:v>
                </c:pt>
                <c:pt idx="241">
                  <c:v>-34</c:v>
                </c:pt>
                <c:pt idx="242">
                  <c:v>-34</c:v>
                </c:pt>
                <c:pt idx="243">
                  <c:v>-34</c:v>
                </c:pt>
                <c:pt idx="244">
                  <c:v>-34</c:v>
                </c:pt>
                <c:pt idx="245">
                  <c:v>-34</c:v>
                </c:pt>
                <c:pt idx="246">
                  <c:v>-34</c:v>
                </c:pt>
                <c:pt idx="247">
                  <c:v>-34</c:v>
                </c:pt>
                <c:pt idx="248">
                  <c:v>-34</c:v>
                </c:pt>
                <c:pt idx="249">
                  <c:v>-34</c:v>
                </c:pt>
                <c:pt idx="250">
                  <c:v>-34</c:v>
                </c:pt>
                <c:pt idx="251">
                  <c:v>-34</c:v>
                </c:pt>
                <c:pt idx="252">
                  <c:v>-34</c:v>
                </c:pt>
                <c:pt idx="253">
                  <c:v>-34</c:v>
                </c:pt>
                <c:pt idx="254">
                  <c:v>-34</c:v>
                </c:pt>
                <c:pt idx="255">
                  <c:v>-34</c:v>
                </c:pt>
                <c:pt idx="256">
                  <c:v>-34</c:v>
                </c:pt>
                <c:pt idx="257">
                  <c:v>-34</c:v>
                </c:pt>
                <c:pt idx="258">
                  <c:v>-34</c:v>
                </c:pt>
                <c:pt idx="259">
                  <c:v>-34</c:v>
                </c:pt>
                <c:pt idx="260">
                  <c:v>-34</c:v>
                </c:pt>
                <c:pt idx="261">
                  <c:v>-34</c:v>
                </c:pt>
                <c:pt idx="262">
                  <c:v>-34</c:v>
                </c:pt>
                <c:pt idx="263">
                  <c:v>-34</c:v>
                </c:pt>
                <c:pt idx="264">
                  <c:v>-34</c:v>
                </c:pt>
                <c:pt idx="265">
                  <c:v>-34</c:v>
                </c:pt>
                <c:pt idx="266">
                  <c:v>-34</c:v>
                </c:pt>
                <c:pt idx="267">
                  <c:v>-34</c:v>
                </c:pt>
                <c:pt idx="268">
                  <c:v>-34</c:v>
                </c:pt>
                <c:pt idx="269">
                  <c:v>-34</c:v>
                </c:pt>
                <c:pt idx="270">
                  <c:v>-34</c:v>
                </c:pt>
                <c:pt idx="271">
                  <c:v>-34</c:v>
                </c:pt>
                <c:pt idx="272">
                  <c:v>-34</c:v>
                </c:pt>
                <c:pt idx="273">
                  <c:v>-34</c:v>
                </c:pt>
                <c:pt idx="274">
                  <c:v>-34</c:v>
                </c:pt>
                <c:pt idx="275">
                  <c:v>-34</c:v>
                </c:pt>
                <c:pt idx="276">
                  <c:v>-34</c:v>
                </c:pt>
                <c:pt idx="277">
                  <c:v>-34</c:v>
                </c:pt>
                <c:pt idx="278">
                  <c:v>-34</c:v>
                </c:pt>
                <c:pt idx="279">
                  <c:v>-34</c:v>
                </c:pt>
                <c:pt idx="280">
                  <c:v>-34</c:v>
                </c:pt>
                <c:pt idx="281">
                  <c:v>-34</c:v>
                </c:pt>
                <c:pt idx="282">
                  <c:v>-34</c:v>
                </c:pt>
                <c:pt idx="283">
                  <c:v>-21</c:v>
                </c:pt>
                <c:pt idx="284">
                  <c:v>-21</c:v>
                </c:pt>
                <c:pt idx="285">
                  <c:v>-21</c:v>
                </c:pt>
                <c:pt idx="286">
                  <c:v>-21</c:v>
                </c:pt>
                <c:pt idx="287">
                  <c:v>-21</c:v>
                </c:pt>
                <c:pt idx="288">
                  <c:v>-21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-19</c:v>
                </c:pt>
                <c:pt idx="293">
                  <c:v>-19</c:v>
                </c:pt>
                <c:pt idx="294">
                  <c:v>-34</c:v>
                </c:pt>
                <c:pt idx="295">
                  <c:v>-34</c:v>
                </c:pt>
                <c:pt idx="296">
                  <c:v>-34</c:v>
                </c:pt>
                <c:pt idx="297">
                  <c:v>-34</c:v>
                </c:pt>
                <c:pt idx="298">
                  <c:v>-34</c:v>
                </c:pt>
                <c:pt idx="299">
                  <c:v>-34</c:v>
                </c:pt>
                <c:pt idx="300">
                  <c:v>-34</c:v>
                </c:pt>
                <c:pt idx="301">
                  <c:v>-34</c:v>
                </c:pt>
                <c:pt idx="302">
                  <c:v>-34</c:v>
                </c:pt>
                <c:pt idx="303">
                  <c:v>-34</c:v>
                </c:pt>
                <c:pt idx="304">
                  <c:v>-34</c:v>
                </c:pt>
                <c:pt idx="305">
                  <c:v>-34</c:v>
                </c:pt>
                <c:pt idx="306">
                  <c:v>-34</c:v>
                </c:pt>
                <c:pt idx="307">
                  <c:v>-34</c:v>
                </c:pt>
                <c:pt idx="308">
                  <c:v>-34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10.5</c:v>
                </c:pt>
                <c:pt idx="319">
                  <c:v>1.5</c:v>
                </c:pt>
                <c:pt idx="320">
                  <c:v>1.5</c:v>
                </c:pt>
                <c:pt idx="321">
                  <c:v>1.5</c:v>
                </c:pt>
                <c:pt idx="322">
                  <c:v>1.5</c:v>
                </c:pt>
                <c:pt idx="323">
                  <c:v>-11.5</c:v>
                </c:pt>
                <c:pt idx="324">
                  <c:v>-11.5</c:v>
                </c:pt>
                <c:pt idx="325">
                  <c:v>-11.5</c:v>
                </c:pt>
                <c:pt idx="326">
                  <c:v>-15.5</c:v>
                </c:pt>
                <c:pt idx="327">
                  <c:v>-15.5</c:v>
                </c:pt>
                <c:pt idx="328">
                  <c:v>-15.5</c:v>
                </c:pt>
                <c:pt idx="329">
                  <c:v>-15.5</c:v>
                </c:pt>
                <c:pt idx="330">
                  <c:v>-30.5</c:v>
                </c:pt>
                <c:pt idx="331">
                  <c:v>-77.5</c:v>
                </c:pt>
                <c:pt idx="332">
                  <c:v>-82.5</c:v>
                </c:pt>
                <c:pt idx="333">
                  <c:v>-82.5</c:v>
                </c:pt>
                <c:pt idx="334">
                  <c:v>-82.5</c:v>
                </c:pt>
                <c:pt idx="335">
                  <c:v>-82.5</c:v>
                </c:pt>
                <c:pt idx="336">
                  <c:v>-82.5</c:v>
                </c:pt>
                <c:pt idx="337">
                  <c:v>-82.5</c:v>
                </c:pt>
                <c:pt idx="338">
                  <c:v>-82.5</c:v>
                </c:pt>
                <c:pt idx="339">
                  <c:v>-82.5</c:v>
                </c:pt>
                <c:pt idx="340">
                  <c:v>-82.5</c:v>
                </c:pt>
                <c:pt idx="341">
                  <c:v>-82.5</c:v>
                </c:pt>
                <c:pt idx="342">
                  <c:v>-82.5</c:v>
                </c:pt>
                <c:pt idx="343">
                  <c:v>-82.5</c:v>
                </c:pt>
                <c:pt idx="344">
                  <c:v>-93.5</c:v>
                </c:pt>
                <c:pt idx="345">
                  <c:v>-93.5</c:v>
                </c:pt>
                <c:pt idx="346">
                  <c:v>-93.5</c:v>
                </c:pt>
                <c:pt idx="347">
                  <c:v>-93.5</c:v>
                </c:pt>
                <c:pt idx="348">
                  <c:v>-93.5</c:v>
                </c:pt>
                <c:pt idx="349">
                  <c:v>-93.5</c:v>
                </c:pt>
                <c:pt idx="350">
                  <c:v>-93.5</c:v>
                </c:pt>
                <c:pt idx="351">
                  <c:v>-93.5</c:v>
                </c:pt>
                <c:pt idx="352">
                  <c:v>-93.5</c:v>
                </c:pt>
                <c:pt idx="353">
                  <c:v>-93.5</c:v>
                </c:pt>
                <c:pt idx="354">
                  <c:v>-93.5</c:v>
                </c:pt>
                <c:pt idx="355">
                  <c:v>-93.5</c:v>
                </c:pt>
                <c:pt idx="356">
                  <c:v>-93.5</c:v>
                </c:pt>
                <c:pt idx="357">
                  <c:v>-93.5</c:v>
                </c:pt>
                <c:pt idx="358">
                  <c:v>-93.5</c:v>
                </c:pt>
                <c:pt idx="359">
                  <c:v>-104.5</c:v>
                </c:pt>
                <c:pt idx="360">
                  <c:v>-104.5</c:v>
                </c:pt>
                <c:pt idx="361">
                  <c:v>-93.5</c:v>
                </c:pt>
                <c:pt idx="362">
                  <c:v>-82.5</c:v>
                </c:pt>
                <c:pt idx="363">
                  <c:v>-82.5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ECEst!$K$1</c:f>
              <c:strCache>
                <c:ptCount val="1"/>
                <c:pt idx="0">
                  <c:v>Win Line</c:v>
                </c:pt>
              </c:strCache>
            </c:strRef>
          </c:tx>
          <c:spPr>
            <a:ln w="381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ECEst!$A$2:$A$367</c:f>
              <c:strCache>
                <c:ptCount val="366"/>
                <c:pt idx="123">
                  <c:v>38052.6625</c:v>
                </c:pt>
                <c:pt idx="124">
                  <c:v>38053.84722222222</c:v>
                </c:pt>
                <c:pt idx="125">
                  <c:v>38054.99513888889</c:v>
                </c:pt>
                <c:pt idx="126">
                  <c:v>38055.725694444445</c:v>
                </c:pt>
                <c:pt idx="127">
                  <c:v>38056.33541666667</c:v>
                </c:pt>
                <c:pt idx="128">
                  <c:v>38057.373611111114</c:v>
                </c:pt>
                <c:pt idx="129">
                  <c:v>38058.3375</c:v>
                </c:pt>
                <c:pt idx="130">
                  <c:v>38059.643055555556</c:v>
                </c:pt>
                <c:pt idx="131">
                  <c:v>38060.873611111114</c:v>
                </c:pt>
                <c:pt idx="132">
                  <c:v>38061.041666666664</c:v>
                </c:pt>
                <c:pt idx="133">
                  <c:v>38062.25625</c:v>
                </c:pt>
                <c:pt idx="134">
                  <c:v>38063.31805555556</c:v>
                </c:pt>
                <c:pt idx="135">
                  <c:v>38064.69930555556</c:v>
                </c:pt>
                <c:pt idx="136">
                  <c:v>38065.30347222222</c:v>
                </c:pt>
                <c:pt idx="137">
                  <c:v>38066.29513888889</c:v>
                </c:pt>
                <c:pt idx="138">
                  <c:v>38067.75069444445</c:v>
                </c:pt>
                <c:pt idx="139">
                  <c:v>38068.97708333333</c:v>
                </c:pt>
                <c:pt idx="140">
                  <c:v>38069.3125</c:v>
                </c:pt>
                <c:pt idx="141">
                  <c:v>38070.35833333333</c:v>
                </c:pt>
                <c:pt idx="142">
                  <c:v>38071.34444444445</c:v>
                </c:pt>
                <c:pt idx="143">
                  <c:v>38072.30347222222</c:v>
                </c:pt>
                <c:pt idx="144">
                  <c:v>38073.23819444444</c:v>
                </c:pt>
                <c:pt idx="145">
                  <c:v>38074.927083333336</c:v>
                </c:pt>
                <c:pt idx="146">
                  <c:v>38075.16527777778</c:v>
                </c:pt>
                <c:pt idx="147">
                  <c:v>38076.79375</c:v>
                </c:pt>
                <c:pt idx="148">
                  <c:v>38077.28611111111</c:v>
                </c:pt>
                <c:pt idx="149">
                  <c:v>38078.365277777775</c:v>
                </c:pt>
                <c:pt idx="150">
                  <c:v>38079.70208333333</c:v>
                </c:pt>
                <c:pt idx="151">
                  <c:v>38080.11111111111</c:v>
                </c:pt>
                <c:pt idx="152">
                  <c:v>38081.200694444444</c:v>
                </c:pt>
                <c:pt idx="153">
                  <c:v>38082.92638888889</c:v>
                </c:pt>
                <c:pt idx="154">
                  <c:v>38083.67986111111</c:v>
                </c:pt>
                <c:pt idx="155">
                  <c:v>38084.67361111111</c:v>
                </c:pt>
                <c:pt idx="156">
                  <c:v>38085.646527777775</c:v>
                </c:pt>
                <c:pt idx="157">
                  <c:v>38086.68680555555</c:v>
                </c:pt>
                <c:pt idx="158">
                  <c:v>38087.60763888889</c:v>
                </c:pt>
                <c:pt idx="159">
                  <c:v>38088.96944444445</c:v>
                </c:pt>
                <c:pt idx="160">
                  <c:v>38089.657638888886</c:v>
                </c:pt>
                <c:pt idx="161">
                  <c:v>38090.65972222222</c:v>
                </c:pt>
                <c:pt idx="162">
                  <c:v>38091.631944444445</c:v>
                </c:pt>
                <c:pt idx="163">
                  <c:v>38092.65833333333</c:v>
                </c:pt>
                <c:pt idx="164">
                  <c:v>38093.67986111111</c:v>
                </c:pt>
                <c:pt idx="165">
                  <c:v>38094.95138888889</c:v>
                </c:pt>
                <c:pt idx="166">
                  <c:v>38095.84097222222</c:v>
                </c:pt>
                <c:pt idx="167">
                  <c:v>38096.74930555555</c:v>
                </c:pt>
                <c:pt idx="168">
                  <c:v>38097.30416666667</c:v>
                </c:pt>
                <c:pt idx="169">
                  <c:v>38098.3875</c:v>
                </c:pt>
                <c:pt idx="170">
                  <c:v>38099.33472222222</c:v>
                </c:pt>
                <c:pt idx="171">
                  <c:v>38100.694444444445</c:v>
                </c:pt>
                <c:pt idx="172">
                  <c:v>38101.67638888889</c:v>
                </c:pt>
                <c:pt idx="173">
                  <c:v>38102.9625</c:v>
                </c:pt>
                <c:pt idx="174">
                  <c:v>38103.82916666667</c:v>
                </c:pt>
                <c:pt idx="175">
                  <c:v>38104.56805555556</c:v>
                </c:pt>
                <c:pt idx="176">
                  <c:v>38105.59166666667</c:v>
                </c:pt>
                <c:pt idx="177">
                  <c:v>38106.64444444444</c:v>
                </c:pt>
                <c:pt idx="178">
                  <c:v>38107.53958333333</c:v>
                </c:pt>
                <c:pt idx="179">
                  <c:v>38108.665972222225</c:v>
                </c:pt>
                <c:pt idx="180">
                  <c:v>38109.850694444445</c:v>
                </c:pt>
                <c:pt idx="181">
                  <c:v>38110.65694444445</c:v>
                </c:pt>
                <c:pt idx="182">
                  <c:v>38111.544444444444</c:v>
                </c:pt>
                <c:pt idx="183">
                  <c:v>38112.572222222225</c:v>
                </c:pt>
                <c:pt idx="184">
                  <c:v>38113.65347222222</c:v>
                </c:pt>
                <c:pt idx="185">
                  <c:v>38114.59166666667</c:v>
                </c:pt>
                <c:pt idx="186">
                  <c:v>38115.39236111111</c:v>
                </c:pt>
                <c:pt idx="187">
                  <c:v>38116.78611111111</c:v>
                </c:pt>
                <c:pt idx="188">
                  <c:v>38117.96875</c:v>
                </c:pt>
                <c:pt idx="189">
                  <c:v>38118.552083333336</c:v>
                </c:pt>
                <c:pt idx="190">
                  <c:v>38119.325694444444</c:v>
                </c:pt>
                <c:pt idx="191">
                  <c:v>38120.7125</c:v>
                </c:pt>
                <c:pt idx="192">
                  <c:v>38121.64236111111</c:v>
                </c:pt>
                <c:pt idx="193">
                  <c:v>38122.57847222222</c:v>
                </c:pt>
                <c:pt idx="194">
                  <c:v>38123.86736111111</c:v>
                </c:pt>
                <c:pt idx="195">
                  <c:v>38124.743055555555</c:v>
                </c:pt>
                <c:pt idx="196">
                  <c:v>38125.64375</c:v>
                </c:pt>
                <c:pt idx="197">
                  <c:v>38126.64513888889</c:v>
                </c:pt>
                <c:pt idx="198">
                  <c:v>38127.65277777778</c:v>
                </c:pt>
                <c:pt idx="199">
                  <c:v>38128.5875</c:v>
                </c:pt>
                <c:pt idx="200">
                  <c:v>38129.65972222222</c:v>
                </c:pt>
                <c:pt idx="201">
                  <c:v>38130.98055555556</c:v>
                </c:pt>
                <c:pt idx="202">
                  <c:v>38131.349583333336</c:v>
                </c:pt>
                <c:pt idx="203">
                  <c:v>38132.6125</c:v>
                </c:pt>
                <c:pt idx="204">
                  <c:v>38133.61736111111</c:v>
                </c:pt>
                <c:pt idx="205">
                  <c:v>38134.68194444444</c:v>
                </c:pt>
                <c:pt idx="206">
                  <c:v>38135.65833333333</c:v>
                </c:pt>
                <c:pt idx="207">
                  <c:v>38136.71319444444</c:v>
                </c:pt>
                <c:pt idx="208">
                  <c:v>38137.75763888889</c:v>
                </c:pt>
                <c:pt idx="209">
                  <c:v>38138.802777777775</c:v>
                </c:pt>
                <c:pt idx="210">
                  <c:v>38139.68125</c:v>
                </c:pt>
                <c:pt idx="211">
                  <c:v>38140.64027777778</c:v>
                </c:pt>
                <c:pt idx="212">
                  <c:v>38141.69583333333</c:v>
                </c:pt>
                <c:pt idx="213">
                  <c:v>38142.70208333333</c:v>
                </c:pt>
                <c:pt idx="214">
                  <c:v>38143.55069444444</c:v>
                </c:pt>
                <c:pt idx="215">
                  <c:v>38144.839583333334</c:v>
                </c:pt>
                <c:pt idx="216">
                  <c:v>38145.13680555556</c:v>
                </c:pt>
                <c:pt idx="217">
                  <c:v>38146.14722222222</c:v>
                </c:pt>
                <c:pt idx="218">
                  <c:v>38147.17222222222</c:v>
                </c:pt>
                <c:pt idx="219">
                  <c:v>38148.26666666667</c:v>
                </c:pt>
                <c:pt idx="220">
                  <c:v>38149.60138888889</c:v>
                </c:pt>
                <c:pt idx="221">
                  <c:v>38150.555555555555</c:v>
                </c:pt>
                <c:pt idx="222">
                  <c:v>38151.92986111111</c:v>
                </c:pt>
                <c:pt idx="223">
                  <c:v>38152.90625</c:v>
                </c:pt>
                <c:pt idx="224">
                  <c:v>38153.66111111111</c:v>
                </c:pt>
                <c:pt idx="225">
                  <c:v>38154.59652777778</c:v>
                </c:pt>
                <c:pt idx="226">
                  <c:v>38155.62291666667</c:v>
                </c:pt>
                <c:pt idx="227">
                  <c:v>38156.260416666664</c:v>
                </c:pt>
                <c:pt idx="228">
                  <c:v>38157.26388888889</c:v>
                </c:pt>
                <c:pt idx="229">
                  <c:v>38158.270833333336</c:v>
                </c:pt>
                <c:pt idx="230">
                  <c:v>38159.82708333333</c:v>
                </c:pt>
                <c:pt idx="231">
                  <c:v>38160.58194444444</c:v>
                </c:pt>
                <c:pt idx="232">
                  <c:v>38161.29861111111</c:v>
                </c:pt>
                <c:pt idx="233">
                  <c:v>38162.26666666667</c:v>
                </c:pt>
                <c:pt idx="234">
                  <c:v>38163.23611111111</c:v>
                </c:pt>
                <c:pt idx="235">
                  <c:v>38164.29583333333</c:v>
                </c:pt>
                <c:pt idx="236">
                  <c:v>38165.885416666664</c:v>
                </c:pt>
                <c:pt idx="237">
                  <c:v>38166.44513888889</c:v>
                </c:pt>
                <c:pt idx="238">
                  <c:v>38167.32986111111</c:v>
                </c:pt>
                <c:pt idx="239">
                  <c:v>38168.6375</c:v>
                </c:pt>
                <c:pt idx="240">
                  <c:v>38169.57708333333</c:v>
                </c:pt>
                <c:pt idx="241">
                  <c:v>38170.61041666667</c:v>
                </c:pt>
                <c:pt idx="242">
                  <c:v>38171.822916666664</c:v>
                </c:pt>
                <c:pt idx="243">
                  <c:v>38172.74097222222</c:v>
                </c:pt>
                <c:pt idx="244">
                  <c:v>38173.875</c:v>
                </c:pt>
                <c:pt idx="245">
                  <c:v>38174.67222222222</c:v>
                </c:pt>
                <c:pt idx="246">
                  <c:v>38175.620833333334</c:v>
                </c:pt>
                <c:pt idx="247">
                  <c:v>38176.7125</c:v>
                </c:pt>
                <c:pt idx="248">
                  <c:v>38177.63680555556</c:v>
                </c:pt>
                <c:pt idx="249">
                  <c:v>38178.674305555556</c:v>
                </c:pt>
                <c:pt idx="250">
                  <c:v>38179.91736111111</c:v>
                </c:pt>
                <c:pt idx="251">
                  <c:v>38180.947222222225</c:v>
                </c:pt>
                <c:pt idx="252">
                  <c:v>38181.70277777778</c:v>
                </c:pt>
                <c:pt idx="253">
                  <c:v>38182.6375</c:v>
                </c:pt>
                <c:pt idx="254">
                  <c:v>38183.61319444444</c:v>
                </c:pt>
                <c:pt idx="255">
                  <c:v>38184.63055555556</c:v>
                </c:pt>
                <c:pt idx="256">
                  <c:v>38185.15833333333</c:v>
                </c:pt>
                <c:pt idx="257">
                  <c:v>38186.220138888886</c:v>
                </c:pt>
                <c:pt idx="258">
                  <c:v>38187.18819444445</c:v>
                </c:pt>
                <c:pt idx="259">
                  <c:v>38188.23472222222</c:v>
                </c:pt>
                <c:pt idx="260">
                  <c:v>38189.42152777778</c:v>
                </c:pt>
                <c:pt idx="261">
                  <c:v>38190.592361111114</c:v>
                </c:pt>
                <c:pt idx="262">
                  <c:v>38191.57986111111</c:v>
                </c:pt>
                <c:pt idx="263">
                  <c:v>38192.21111111111</c:v>
                </c:pt>
                <c:pt idx="264">
                  <c:v>38193.842361111114</c:v>
                </c:pt>
                <c:pt idx="265">
                  <c:v>38194.74166666667</c:v>
                </c:pt>
                <c:pt idx="266">
                  <c:v>38195.65833333333</c:v>
                </c:pt>
                <c:pt idx="267">
                  <c:v>38196.69583333333</c:v>
                </c:pt>
                <c:pt idx="268">
                  <c:v>38197.60277777778</c:v>
                </c:pt>
                <c:pt idx="269">
                  <c:v>38198.54583333333</c:v>
                </c:pt>
                <c:pt idx="270">
                  <c:v>38199.58125</c:v>
                </c:pt>
                <c:pt idx="271">
                  <c:v>38200.79861111111</c:v>
                </c:pt>
                <c:pt idx="272">
                  <c:v>38201.69513888889</c:v>
                </c:pt>
                <c:pt idx="273">
                  <c:v>38202.71319444444</c:v>
                </c:pt>
                <c:pt idx="274">
                  <c:v>38203.677083333336</c:v>
                </c:pt>
                <c:pt idx="275">
                  <c:v>38204.66111111111</c:v>
                </c:pt>
                <c:pt idx="276">
                  <c:v>38205.47430555556</c:v>
                </c:pt>
                <c:pt idx="277">
                  <c:v>38206.62777777778</c:v>
                </c:pt>
                <c:pt idx="278">
                  <c:v>38207.94930555556</c:v>
                </c:pt>
                <c:pt idx="279">
                  <c:v>38208.92152777778</c:v>
                </c:pt>
                <c:pt idx="280">
                  <c:v>38209.34027777778</c:v>
                </c:pt>
                <c:pt idx="281">
                  <c:v>38210.592361111114</c:v>
                </c:pt>
                <c:pt idx="282">
                  <c:v>38211.635416666664</c:v>
                </c:pt>
                <c:pt idx="283">
                  <c:v>38212.62708333333</c:v>
                </c:pt>
                <c:pt idx="284">
                  <c:v>38213.60486111111</c:v>
                </c:pt>
                <c:pt idx="285">
                  <c:v>38214.87847222222</c:v>
                </c:pt>
                <c:pt idx="286">
                  <c:v>38215.743055555555</c:v>
                </c:pt>
                <c:pt idx="287">
                  <c:v>38216.61944444444</c:v>
                </c:pt>
                <c:pt idx="288">
                  <c:v>38217.58888888889</c:v>
                </c:pt>
                <c:pt idx="289">
                  <c:v>38218.60763888889</c:v>
                </c:pt>
                <c:pt idx="290">
                  <c:v>38219.638194444444</c:v>
                </c:pt>
                <c:pt idx="291">
                  <c:v>38220.614583333336</c:v>
                </c:pt>
                <c:pt idx="292">
                  <c:v>38221.81875</c:v>
                </c:pt>
                <c:pt idx="293">
                  <c:v>38222.82847222222</c:v>
                </c:pt>
                <c:pt idx="294">
                  <c:v>38223.77847222222</c:v>
                </c:pt>
                <c:pt idx="295">
                  <c:v>38224.7</c:v>
                </c:pt>
                <c:pt idx="296">
                  <c:v>38225.76944444444</c:v>
                </c:pt>
                <c:pt idx="297">
                  <c:v>38226.947222222225</c:v>
                </c:pt>
                <c:pt idx="298">
                  <c:v>38227.623611111114</c:v>
                </c:pt>
                <c:pt idx="299">
                  <c:v>38228.717361111114</c:v>
                </c:pt>
                <c:pt idx="300">
                  <c:v>38229.955555555556</c:v>
                </c:pt>
                <c:pt idx="301">
                  <c:v>38230.95416666667</c:v>
                </c:pt>
                <c:pt idx="302">
                  <c:v>38231.868055555555</c:v>
                </c:pt>
                <c:pt idx="303">
                  <c:v>38232.81180555555</c:v>
                </c:pt>
                <c:pt idx="304">
                  <c:v>38233.96666666667</c:v>
                </c:pt>
                <c:pt idx="305">
                  <c:v>38234.63125</c:v>
                </c:pt>
                <c:pt idx="306">
                  <c:v>38235.82916666667</c:v>
                </c:pt>
                <c:pt idx="307">
                  <c:v>38236.91111111111</c:v>
                </c:pt>
                <c:pt idx="308">
                  <c:v>38237.68125</c:v>
                </c:pt>
                <c:pt idx="309">
                  <c:v>38238.53125</c:v>
                </c:pt>
                <c:pt idx="310">
                  <c:v>38239.63680555556</c:v>
                </c:pt>
                <c:pt idx="311">
                  <c:v>38240.63125</c:v>
                </c:pt>
                <c:pt idx="312">
                  <c:v>38241.60555555556</c:v>
                </c:pt>
                <c:pt idx="313">
                  <c:v>38242.92569444444</c:v>
                </c:pt>
                <c:pt idx="314">
                  <c:v>38243.78055555555</c:v>
                </c:pt>
                <c:pt idx="315">
                  <c:v>38244.646527777775</c:v>
                </c:pt>
                <c:pt idx="316">
                  <c:v>38245.29583333333</c:v>
                </c:pt>
                <c:pt idx="317">
                  <c:v>38246.59444444445</c:v>
                </c:pt>
                <c:pt idx="318">
                  <c:v>38247.64166666667</c:v>
                </c:pt>
                <c:pt idx="319">
                  <c:v>38248.2625</c:v>
                </c:pt>
                <c:pt idx="320">
                  <c:v>38249.88680555556</c:v>
                </c:pt>
                <c:pt idx="321">
                  <c:v>38250.73888888889</c:v>
                </c:pt>
                <c:pt idx="322">
                  <c:v>38251.57083333333</c:v>
                </c:pt>
                <c:pt idx="323">
                  <c:v>38252.555555555555</c:v>
                </c:pt>
                <c:pt idx="324">
                  <c:v>38253.28958333333</c:v>
                </c:pt>
                <c:pt idx="325">
                  <c:v>38254.629166666666</c:v>
                </c:pt>
                <c:pt idx="326">
                  <c:v>38255.61388888889</c:v>
                </c:pt>
                <c:pt idx="327">
                  <c:v>38256.84166666667</c:v>
                </c:pt>
                <c:pt idx="328">
                  <c:v>38257.79583333333</c:v>
                </c:pt>
                <c:pt idx="329">
                  <c:v>38258.63888888889</c:v>
                </c:pt>
                <c:pt idx="330">
                  <c:v>38259.61666666667</c:v>
                </c:pt>
                <c:pt idx="331">
                  <c:v>38260.55347222222</c:v>
                </c:pt>
                <c:pt idx="332">
                  <c:v>38261.561111111114</c:v>
                </c:pt>
                <c:pt idx="333">
                  <c:v>38262.58541666667</c:v>
                </c:pt>
                <c:pt idx="334">
                  <c:v>38263.925</c:v>
                </c:pt>
                <c:pt idx="335">
                  <c:v>38264.88402777778</c:v>
                </c:pt>
                <c:pt idx="336">
                  <c:v>38265.66736111111</c:v>
                </c:pt>
                <c:pt idx="337">
                  <c:v>38266.646527777775</c:v>
                </c:pt>
                <c:pt idx="338">
                  <c:v>38267.631944444445</c:v>
                </c:pt>
                <c:pt idx="339">
                  <c:v>38268.69652777778</c:v>
                </c:pt>
                <c:pt idx="340">
                  <c:v>38269.674305555556</c:v>
                </c:pt>
                <c:pt idx="341">
                  <c:v>38270.80902777778</c:v>
                </c:pt>
                <c:pt idx="342">
                  <c:v>38271.91736111111</c:v>
                </c:pt>
                <c:pt idx="343">
                  <c:v>38272.59375</c:v>
                </c:pt>
                <c:pt idx="344">
                  <c:v>38273.59444444445</c:v>
                </c:pt>
                <c:pt idx="345">
                  <c:v>38274.62777777778</c:v>
                </c:pt>
                <c:pt idx="346">
                  <c:v>38275.64513888889</c:v>
                </c:pt>
                <c:pt idx="347">
                  <c:v>38276.69375</c:v>
                </c:pt>
                <c:pt idx="348">
                  <c:v>38277.845138888886</c:v>
                </c:pt>
                <c:pt idx="349">
                  <c:v>38278.950694444444</c:v>
                </c:pt>
                <c:pt idx="350">
                  <c:v>38279.74444444444</c:v>
                </c:pt>
                <c:pt idx="351">
                  <c:v>38280.60902777778</c:v>
                </c:pt>
                <c:pt idx="352">
                  <c:v>38281.6375</c:v>
                </c:pt>
                <c:pt idx="353">
                  <c:v>38282.62569444445</c:v>
                </c:pt>
                <c:pt idx="354">
                  <c:v>38283.68472222222</c:v>
                </c:pt>
                <c:pt idx="355">
                  <c:v>38284.899305555555</c:v>
                </c:pt>
                <c:pt idx="356">
                  <c:v>38285.861805555556</c:v>
                </c:pt>
                <c:pt idx="357">
                  <c:v>38286.55694444444</c:v>
                </c:pt>
                <c:pt idx="358">
                  <c:v>38287.62013888889</c:v>
                </c:pt>
                <c:pt idx="359">
                  <c:v>38288.68958333333</c:v>
                </c:pt>
                <c:pt idx="360">
                  <c:v>38289.62777777778</c:v>
                </c:pt>
                <c:pt idx="361">
                  <c:v>38290.56319444445</c:v>
                </c:pt>
                <c:pt idx="362">
                  <c:v>38291.89444444444</c:v>
                </c:pt>
                <c:pt idx="363">
                  <c:v>38292.768055555556</c:v>
                </c:pt>
              </c:strCache>
            </c:strRef>
          </c:xVal>
          <c:yVal>
            <c:numRef>
              <c:f>ECEst!$K$2:$K$367</c:f>
              <c:numCache>
                <c:ptCount val="366"/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ECEst!$J$1</c:f>
              <c:strCache>
                <c:ptCount val="1"/>
                <c:pt idx="0">
                  <c:v>McCain Lean</c:v>
                </c:pt>
              </c:strCache>
            </c:strRef>
          </c:tx>
          <c:spPr>
            <a:ln w="381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ECEst!$A$2:$A$367</c:f>
              <c:strCache>
                <c:ptCount val="366"/>
                <c:pt idx="123">
                  <c:v>38052.6625</c:v>
                </c:pt>
                <c:pt idx="124">
                  <c:v>38053.84722222222</c:v>
                </c:pt>
                <c:pt idx="125">
                  <c:v>38054.99513888889</c:v>
                </c:pt>
                <c:pt idx="126">
                  <c:v>38055.725694444445</c:v>
                </c:pt>
                <c:pt idx="127">
                  <c:v>38056.33541666667</c:v>
                </c:pt>
                <c:pt idx="128">
                  <c:v>38057.373611111114</c:v>
                </c:pt>
                <c:pt idx="129">
                  <c:v>38058.3375</c:v>
                </c:pt>
                <c:pt idx="130">
                  <c:v>38059.643055555556</c:v>
                </c:pt>
                <c:pt idx="131">
                  <c:v>38060.873611111114</c:v>
                </c:pt>
                <c:pt idx="132">
                  <c:v>38061.041666666664</c:v>
                </c:pt>
                <c:pt idx="133">
                  <c:v>38062.25625</c:v>
                </c:pt>
                <c:pt idx="134">
                  <c:v>38063.31805555556</c:v>
                </c:pt>
                <c:pt idx="135">
                  <c:v>38064.69930555556</c:v>
                </c:pt>
                <c:pt idx="136">
                  <c:v>38065.30347222222</c:v>
                </c:pt>
                <c:pt idx="137">
                  <c:v>38066.29513888889</c:v>
                </c:pt>
                <c:pt idx="138">
                  <c:v>38067.75069444445</c:v>
                </c:pt>
                <c:pt idx="139">
                  <c:v>38068.97708333333</c:v>
                </c:pt>
                <c:pt idx="140">
                  <c:v>38069.3125</c:v>
                </c:pt>
                <c:pt idx="141">
                  <c:v>38070.35833333333</c:v>
                </c:pt>
                <c:pt idx="142">
                  <c:v>38071.34444444445</c:v>
                </c:pt>
                <c:pt idx="143">
                  <c:v>38072.30347222222</c:v>
                </c:pt>
                <c:pt idx="144">
                  <c:v>38073.23819444444</c:v>
                </c:pt>
                <c:pt idx="145">
                  <c:v>38074.927083333336</c:v>
                </c:pt>
                <c:pt idx="146">
                  <c:v>38075.16527777778</c:v>
                </c:pt>
                <c:pt idx="147">
                  <c:v>38076.79375</c:v>
                </c:pt>
                <c:pt idx="148">
                  <c:v>38077.28611111111</c:v>
                </c:pt>
                <c:pt idx="149">
                  <c:v>38078.365277777775</c:v>
                </c:pt>
                <c:pt idx="150">
                  <c:v>38079.70208333333</c:v>
                </c:pt>
                <c:pt idx="151">
                  <c:v>38080.11111111111</c:v>
                </c:pt>
                <c:pt idx="152">
                  <c:v>38081.200694444444</c:v>
                </c:pt>
                <c:pt idx="153">
                  <c:v>38082.92638888889</c:v>
                </c:pt>
                <c:pt idx="154">
                  <c:v>38083.67986111111</c:v>
                </c:pt>
                <c:pt idx="155">
                  <c:v>38084.67361111111</c:v>
                </c:pt>
                <c:pt idx="156">
                  <c:v>38085.646527777775</c:v>
                </c:pt>
                <c:pt idx="157">
                  <c:v>38086.68680555555</c:v>
                </c:pt>
                <c:pt idx="158">
                  <c:v>38087.60763888889</c:v>
                </c:pt>
                <c:pt idx="159">
                  <c:v>38088.96944444445</c:v>
                </c:pt>
                <c:pt idx="160">
                  <c:v>38089.657638888886</c:v>
                </c:pt>
                <c:pt idx="161">
                  <c:v>38090.65972222222</c:v>
                </c:pt>
                <c:pt idx="162">
                  <c:v>38091.631944444445</c:v>
                </c:pt>
                <c:pt idx="163">
                  <c:v>38092.65833333333</c:v>
                </c:pt>
                <c:pt idx="164">
                  <c:v>38093.67986111111</c:v>
                </c:pt>
                <c:pt idx="165">
                  <c:v>38094.95138888889</c:v>
                </c:pt>
                <c:pt idx="166">
                  <c:v>38095.84097222222</c:v>
                </c:pt>
                <c:pt idx="167">
                  <c:v>38096.74930555555</c:v>
                </c:pt>
                <c:pt idx="168">
                  <c:v>38097.30416666667</c:v>
                </c:pt>
                <c:pt idx="169">
                  <c:v>38098.3875</c:v>
                </c:pt>
                <c:pt idx="170">
                  <c:v>38099.33472222222</c:v>
                </c:pt>
                <c:pt idx="171">
                  <c:v>38100.694444444445</c:v>
                </c:pt>
                <c:pt idx="172">
                  <c:v>38101.67638888889</c:v>
                </c:pt>
                <c:pt idx="173">
                  <c:v>38102.9625</c:v>
                </c:pt>
                <c:pt idx="174">
                  <c:v>38103.82916666667</c:v>
                </c:pt>
                <c:pt idx="175">
                  <c:v>38104.56805555556</c:v>
                </c:pt>
                <c:pt idx="176">
                  <c:v>38105.59166666667</c:v>
                </c:pt>
                <c:pt idx="177">
                  <c:v>38106.64444444444</c:v>
                </c:pt>
                <c:pt idx="178">
                  <c:v>38107.53958333333</c:v>
                </c:pt>
                <c:pt idx="179">
                  <c:v>38108.665972222225</c:v>
                </c:pt>
                <c:pt idx="180">
                  <c:v>38109.850694444445</c:v>
                </c:pt>
                <c:pt idx="181">
                  <c:v>38110.65694444445</c:v>
                </c:pt>
                <c:pt idx="182">
                  <c:v>38111.544444444444</c:v>
                </c:pt>
                <c:pt idx="183">
                  <c:v>38112.572222222225</c:v>
                </c:pt>
                <c:pt idx="184">
                  <c:v>38113.65347222222</c:v>
                </c:pt>
                <c:pt idx="185">
                  <c:v>38114.59166666667</c:v>
                </c:pt>
                <c:pt idx="186">
                  <c:v>38115.39236111111</c:v>
                </c:pt>
                <c:pt idx="187">
                  <c:v>38116.78611111111</c:v>
                </c:pt>
                <c:pt idx="188">
                  <c:v>38117.96875</c:v>
                </c:pt>
                <c:pt idx="189">
                  <c:v>38118.552083333336</c:v>
                </c:pt>
                <c:pt idx="190">
                  <c:v>38119.325694444444</c:v>
                </c:pt>
                <c:pt idx="191">
                  <c:v>38120.7125</c:v>
                </c:pt>
                <c:pt idx="192">
                  <c:v>38121.64236111111</c:v>
                </c:pt>
                <c:pt idx="193">
                  <c:v>38122.57847222222</c:v>
                </c:pt>
                <c:pt idx="194">
                  <c:v>38123.86736111111</c:v>
                </c:pt>
                <c:pt idx="195">
                  <c:v>38124.743055555555</c:v>
                </c:pt>
                <c:pt idx="196">
                  <c:v>38125.64375</c:v>
                </c:pt>
                <c:pt idx="197">
                  <c:v>38126.64513888889</c:v>
                </c:pt>
                <c:pt idx="198">
                  <c:v>38127.65277777778</c:v>
                </c:pt>
                <c:pt idx="199">
                  <c:v>38128.5875</c:v>
                </c:pt>
                <c:pt idx="200">
                  <c:v>38129.65972222222</c:v>
                </c:pt>
                <c:pt idx="201">
                  <c:v>38130.98055555556</c:v>
                </c:pt>
                <c:pt idx="202">
                  <c:v>38131.349583333336</c:v>
                </c:pt>
                <c:pt idx="203">
                  <c:v>38132.6125</c:v>
                </c:pt>
                <c:pt idx="204">
                  <c:v>38133.61736111111</c:v>
                </c:pt>
                <c:pt idx="205">
                  <c:v>38134.68194444444</c:v>
                </c:pt>
                <c:pt idx="206">
                  <c:v>38135.65833333333</c:v>
                </c:pt>
                <c:pt idx="207">
                  <c:v>38136.71319444444</c:v>
                </c:pt>
                <c:pt idx="208">
                  <c:v>38137.75763888889</c:v>
                </c:pt>
                <c:pt idx="209">
                  <c:v>38138.802777777775</c:v>
                </c:pt>
                <c:pt idx="210">
                  <c:v>38139.68125</c:v>
                </c:pt>
                <c:pt idx="211">
                  <c:v>38140.64027777778</c:v>
                </c:pt>
                <c:pt idx="212">
                  <c:v>38141.69583333333</c:v>
                </c:pt>
                <c:pt idx="213">
                  <c:v>38142.70208333333</c:v>
                </c:pt>
                <c:pt idx="214">
                  <c:v>38143.55069444444</c:v>
                </c:pt>
                <c:pt idx="215">
                  <c:v>38144.839583333334</c:v>
                </c:pt>
                <c:pt idx="216">
                  <c:v>38145.13680555556</c:v>
                </c:pt>
                <c:pt idx="217">
                  <c:v>38146.14722222222</c:v>
                </c:pt>
                <c:pt idx="218">
                  <c:v>38147.17222222222</c:v>
                </c:pt>
                <c:pt idx="219">
                  <c:v>38148.26666666667</c:v>
                </c:pt>
                <c:pt idx="220">
                  <c:v>38149.60138888889</c:v>
                </c:pt>
                <c:pt idx="221">
                  <c:v>38150.555555555555</c:v>
                </c:pt>
                <c:pt idx="222">
                  <c:v>38151.92986111111</c:v>
                </c:pt>
                <c:pt idx="223">
                  <c:v>38152.90625</c:v>
                </c:pt>
                <c:pt idx="224">
                  <c:v>38153.66111111111</c:v>
                </c:pt>
                <c:pt idx="225">
                  <c:v>38154.59652777778</c:v>
                </c:pt>
                <c:pt idx="226">
                  <c:v>38155.62291666667</c:v>
                </c:pt>
                <c:pt idx="227">
                  <c:v>38156.260416666664</c:v>
                </c:pt>
                <c:pt idx="228">
                  <c:v>38157.26388888889</c:v>
                </c:pt>
                <c:pt idx="229">
                  <c:v>38158.270833333336</c:v>
                </c:pt>
                <c:pt idx="230">
                  <c:v>38159.82708333333</c:v>
                </c:pt>
                <c:pt idx="231">
                  <c:v>38160.58194444444</c:v>
                </c:pt>
                <c:pt idx="232">
                  <c:v>38161.29861111111</c:v>
                </c:pt>
                <c:pt idx="233">
                  <c:v>38162.26666666667</c:v>
                </c:pt>
                <c:pt idx="234">
                  <c:v>38163.23611111111</c:v>
                </c:pt>
                <c:pt idx="235">
                  <c:v>38164.29583333333</c:v>
                </c:pt>
                <c:pt idx="236">
                  <c:v>38165.885416666664</c:v>
                </c:pt>
                <c:pt idx="237">
                  <c:v>38166.44513888889</c:v>
                </c:pt>
                <c:pt idx="238">
                  <c:v>38167.32986111111</c:v>
                </c:pt>
                <c:pt idx="239">
                  <c:v>38168.6375</c:v>
                </c:pt>
                <c:pt idx="240">
                  <c:v>38169.57708333333</c:v>
                </c:pt>
                <c:pt idx="241">
                  <c:v>38170.61041666667</c:v>
                </c:pt>
                <c:pt idx="242">
                  <c:v>38171.822916666664</c:v>
                </c:pt>
                <c:pt idx="243">
                  <c:v>38172.74097222222</c:v>
                </c:pt>
                <c:pt idx="244">
                  <c:v>38173.875</c:v>
                </c:pt>
                <c:pt idx="245">
                  <c:v>38174.67222222222</c:v>
                </c:pt>
                <c:pt idx="246">
                  <c:v>38175.620833333334</c:v>
                </c:pt>
                <c:pt idx="247">
                  <c:v>38176.7125</c:v>
                </c:pt>
                <c:pt idx="248">
                  <c:v>38177.63680555556</c:v>
                </c:pt>
                <c:pt idx="249">
                  <c:v>38178.674305555556</c:v>
                </c:pt>
                <c:pt idx="250">
                  <c:v>38179.91736111111</c:v>
                </c:pt>
                <c:pt idx="251">
                  <c:v>38180.947222222225</c:v>
                </c:pt>
                <c:pt idx="252">
                  <c:v>38181.70277777778</c:v>
                </c:pt>
                <c:pt idx="253">
                  <c:v>38182.6375</c:v>
                </c:pt>
                <c:pt idx="254">
                  <c:v>38183.61319444444</c:v>
                </c:pt>
                <c:pt idx="255">
                  <c:v>38184.63055555556</c:v>
                </c:pt>
                <c:pt idx="256">
                  <c:v>38185.15833333333</c:v>
                </c:pt>
                <c:pt idx="257">
                  <c:v>38186.220138888886</c:v>
                </c:pt>
                <c:pt idx="258">
                  <c:v>38187.18819444445</c:v>
                </c:pt>
                <c:pt idx="259">
                  <c:v>38188.23472222222</c:v>
                </c:pt>
                <c:pt idx="260">
                  <c:v>38189.42152777778</c:v>
                </c:pt>
                <c:pt idx="261">
                  <c:v>38190.592361111114</c:v>
                </c:pt>
                <c:pt idx="262">
                  <c:v>38191.57986111111</c:v>
                </c:pt>
                <c:pt idx="263">
                  <c:v>38192.21111111111</c:v>
                </c:pt>
                <c:pt idx="264">
                  <c:v>38193.842361111114</c:v>
                </c:pt>
                <c:pt idx="265">
                  <c:v>38194.74166666667</c:v>
                </c:pt>
                <c:pt idx="266">
                  <c:v>38195.65833333333</c:v>
                </c:pt>
                <c:pt idx="267">
                  <c:v>38196.69583333333</c:v>
                </c:pt>
                <c:pt idx="268">
                  <c:v>38197.60277777778</c:v>
                </c:pt>
                <c:pt idx="269">
                  <c:v>38198.54583333333</c:v>
                </c:pt>
                <c:pt idx="270">
                  <c:v>38199.58125</c:v>
                </c:pt>
                <c:pt idx="271">
                  <c:v>38200.79861111111</c:v>
                </c:pt>
                <c:pt idx="272">
                  <c:v>38201.69513888889</c:v>
                </c:pt>
                <c:pt idx="273">
                  <c:v>38202.71319444444</c:v>
                </c:pt>
                <c:pt idx="274">
                  <c:v>38203.677083333336</c:v>
                </c:pt>
                <c:pt idx="275">
                  <c:v>38204.66111111111</c:v>
                </c:pt>
                <c:pt idx="276">
                  <c:v>38205.47430555556</c:v>
                </c:pt>
                <c:pt idx="277">
                  <c:v>38206.62777777778</c:v>
                </c:pt>
                <c:pt idx="278">
                  <c:v>38207.94930555556</c:v>
                </c:pt>
                <c:pt idx="279">
                  <c:v>38208.92152777778</c:v>
                </c:pt>
                <c:pt idx="280">
                  <c:v>38209.34027777778</c:v>
                </c:pt>
                <c:pt idx="281">
                  <c:v>38210.592361111114</c:v>
                </c:pt>
                <c:pt idx="282">
                  <c:v>38211.635416666664</c:v>
                </c:pt>
                <c:pt idx="283">
                  <c:v>38212.62708333333</c:v>
                </c:pt>
                <c:pt idx="284">
                  <c:v>38213.60486111111</c:v>
                </c:pt>
                <c:pt idx="285">
                  <c:v>38214.87847222222</c:v>
                </c:pt>
                <c:pt idx="286">
                  <c:v>38215.743055555555</c:v>
                </c:pt>
                <c:pt idx="287">
                  <c:v>38216.61944444444</c:v>
                </c:pt>
                <c:pt idx="288">
                  <c:v>38217.58888888889</c:v>
                </c:pt>
                <c:pt idx="289">
                  <c:v>38218.60763888889</c:v>
                </c:pt>
                <c:pt idx="290">
                  <c:v>38219.638194444444</c:v>
                </c:pt>
                <c:pt idx="291">
                  <c:v>38220.614583333336</c:v>
                </c:pt>
                <c:pt idx="292">
                  <c:v>38221.81875</c:v>
                </c:pt>
                <c:pt idx="293">
                  <c:v>38222.82847222222</c:v>
                </c:pt>
                <c:pt idx="294">
                  <c:v>38223.77847222222</c:v>
                </c:pt>
                <c:pt idx="295">
                  <c:v>38224.7</c:v>
                </c:pt>
                <c:pt idx="296">
                  <c:v>38225.76944444444</c:v>
                </c:pt>
                <c:pt idx="297">
                  <c:v>38226.947222222225</c:v>
                </c:pt>
                <c:pt idx="298">
                  <c:v>38227.623611111114</c:v>
                </c:pt>
                <c:pt idx="299">
                  <c:v>38228.717361111114</c:v>
                </c:pt>
                <c:pt idx="300">
                  <c:v>38229.955555555556</c:v>
                </c:pt>
                <c:pt idx="301">
                  <c:v>38230.95416666667</c:v>
                </c:pt>
                <c:pt idx="302">
                  <c:v>38231.868055555555</c:v>
                </c:pt>
                <c:pt idx="303">
                  <c:v>38232.81180555555</c:v>
                </c:pt>
                <c:pt idx="304">
                  <c:v>38233.96666666667</c:v>
                </c:pt>
                <c:pt idx="305">
                  <c:v>38234.63125</c:v>
                </c:pt>
                <c:pt idx="306">
                  <c:v>38235.82916666667</c:v>
                </c:pt>
                <c:pt idx="307">
                  <c:v>38236.91111111111</c:v>
                </c:pt>
                <c:pt idx="308">
                  <c:v>38237.68125</c:v>
                </c:pt>
                <c:pt idx="309">
                  <c:v>38238.53125</c:v>
                </c:pt>
                <c:pt idx="310">
                  <c:v>38239.63680555556</c:v>
                </c:pt>
                <c:pt idx="311">
                  <c:v>38240.63125</c:v>
                </c:pt>
                <c:pt idx="312">
                  <c:v>38241.60555555556</c:v>
                </c:pt>
                <c:pt idx="313">
                  <c:v>38242.92569444444</c:v>
                </c:pt>
                <c:pt idx="314">
                  <c:v>38243.78055555555</c:v>
                </c:pt>
                <c:pt idx="315">
                  <c:v>38244.646527777775</c:v>
                </c:pt>
                <c:pt idx="316">
                  <c:v>38245.29583333333</c:v>
                </c:pt>
                <c:pt idx="317">
                  <c:v>38246.59444444445</c:v>
                </c:pt>
                <c:pt idx="318">
                  <c:v>38247.64166666667</c:v>
                </c:pt>
                <c:pt idx="319">
                  <c:v>38248.2625</c:v>
                </c:pt>
                <c:pt idx="320">
                  <c:v>38249.88680555556</c:v>
                </c:pt>
                <c:pt idx="321">
                  <c:v>38250.73888888889</c:v>
                </c:pt>
                <c:pt idx="322">
                  <c:v>38251.57083333333</c:v>
                </c:pt>
                <c:pt idx="323">
                  <c:v>38252.555555555555</c:v>
                </c:pt>
                <c:pt idx="324">
                  <c:v>38253.28958333333</c:v>
                </c:pt>
                <c:pt idx="325">
                  <c:v>38254.629166666666</c:v>
                </c:pt>
                <c:pt idx="326">
                  <c:v>38255.61388888889</c:v>
                </c:pt>
                <c:pt idx="327">
                  <c:v>38256.84166666667</c:v>
                </c:pt>
                <c:pt idx="328">
                  <c:v>38257.79583333333</c:v>
                </c:pt>
                <c:pt idx="329">
                  <c:v>38258.63888888889</c:v>
                </c:pt>
                <c:pt idx="330">
                  <c:v>38259.61666666667</c:v>
                </c:pt>
                <c:pt idx="331">
                  <c:v>38260.55347222222</c:v>
                </c:pt>
                <c:pt idx="332">
                  <c:v>38261.561111111114</c:v>
                </c:pt>
                <c:pt idx="333">
                  <c:v>38262.58541666667</c:v>
                </c:pt>
                <c:pt idx="334">
                  <c:v>38263.925</c:v>
                </c:pt>
                <c:pt idx="335">
                  <c:v>38264.88402777778</c:v>
                </c:pt>
                <c:pt idx="336">
                  <c:v>38265.66736111111</c:v>
                </c:pt>
                <c:pt idx="337">
                  <c:v>38266.646527777775</c:v>
                </c:pt>
                <c:pt idx="338">
                  <c:v>38267.631944444445</c:v>
                </c:pt>
                <c:pt idx="339">
                  <c:v>38268.69652777778</c:v>
                </c:pt>
                <c:pt idx="340">
                  <c:v>38269.674305555556</c:v>
                </c:pt>
                <c:pt idx="341">
                  <c:v>38270.80902777778</c:v>
                </c:pt>
                <c:pt idx="342">
                  <c:v>38271.91736111111</c:v>
                </c:pt>
                <c:pt idx="343">
                  <c:v>38272.59375</c:v>
                </c:pt>
                <c:pt idx="344">
                  <c:v>38273.59444444445</c:v>
                </c:pt>
                <c:pt idx="345">
                  <c:v>38274.62777777778</c:v>
                </c:pt>
                <c:pt idx="346">
                  <c:v>38275.64513888889</c:v>
                </c:pt>
                <c:pt idx="347">
                  <c:v>38276.69375</c:v>
                </c:pt>
                <c:pt idx="348">
                  <c:v>38277.845138888886</c:v>
                </c:pt>
                <c:pt idx="349">
                  <c:v>38278.950694444444</c:v>
                </c:pt>
                <c:pt idx="350">
                  <c:v>38279.74444444444</c:v>
                </c:pt>
                <c:pt idx="351">
                  <c:v>38280.60902777778</c:v>
                </c:pt>
                <c:pt idx="352">
                  <c:v>38281.6375</c:v>
                </c:pt>
                <c:pt idx="353">
                  <c:v>38282.62569444445</c:v>
                </c:pt>
                <c:pt idx="354">
                  <c:v>38283.68472222222</c:v>
                </c:pt>
                <c:pt idx="355">
                  <c:v>38284.899305555555</c:v>
                </c:pt>
                <c:pt idx="356">
                  <c:v>38285.861805555556</c:v>
                </c:pt>
                <c:pt idx="357">
                  <c:v>38286.55694444444</c:v>
                </c:pt>
                <c:pt idx="358">
                  <c:v>38287.62013888889</c:v>
                </c:pt>
                <c:pt idx="359">
                  <c:v>38288.68958333333</c:v>
                </c:pt>
                <c:pt idx="360">
                  <c:v>38289.62777777778</c:v>
                </c:pt>
                <c:pt idx="361">
                  <c:v>38290.56319444445</c:v>
                </c:pt>
                <c:pt idx="362">
                  <c:v>38291.89444444444</c:v>
                </c:pt>
                <c:pt idx="363">
                  <c:v>38292.768055555556</c:v>
                </c:pt>
              </c:strCache>
            </c:strRef>
          </c:xVal>
          <c:yVal>
            <c:numRef>
              <c:f>ECEst!$J$2:$J$367</c:f>
              <c:numCache>
                <c:ptCount val="366"/>
                <c:pt idx="123">
                  <c:v>39</c:v>
                </c:pt>
                <c:pt idx="124">
                  <c:v>39</c:v>
                </c:pt>
                <c:pt idx="125">
                  <c:v>39</c:v>
                </c:pt>
                <c:pt idx="126">
                  <c:v>39</c:v>
                </c:pt>
                <c:pt idx="127">
                  <c:v>19</c:v>
                </c:pt>
                <c:pt idx="128">
                  <c:v>-17</c:v>
                </c:pt>
                <c:pt idx="129">
                  <c:v>4</c:v>
                </c:pt>
                <c:pt idx="130">
                  <c:v>4</c:v>
                </c:pt>
                <c:pt idx="131">
                  <c:v>24</c:v>
                </c:pt>
                <c:pt idx="132">
                  <c:v>24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14</c:v>
                </c:pt>
                <c:pt idx="142">
                  <c:v>14</c:v>
                </c:pt>
                <c:pt idx="143">
                  <c:v>14</c:v>
                </c:pt>
                <c:pt idx="144">
                  <c:v>14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14</c:v>
                </c:pt>
                <c:pt idx="149">
                  <c:v>14</c:v>
                </c:pt>
                <c:pt idx="150">
                  <c:v>14</c:v>
                </c:pt>
                <c:pt idx="151">
                  <c:v>14</c:v>
                </c:pt>
                <c:pt idx="152">
                  <c:v>14</c:v>
                </c:pt>
                <c:pt idx="153">
                  <c:v>14</c:v>
                </c:pt>
                <c:pt idx="154">
                  <c:v>14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9</c:v>
                </c:pt>
                <c:pt idx="160">
                  <c:v>9</c:v>
                </c:pt>
                <c:pt idx="161">
                  <c:v>9</c:v>
                </c:pt>
                <c:pt idx="162">
                  <c:v>-12</c:v>
                </c:pt>
                <c:pt idx="163">
                  <c:v>-12</c:v>
                </c:pt>
                <c:pt idx="164">
                  <c:v>-12</c:v>
                </c:pt>
                <c:pt idx="165">
                  <c:v>-12</c:v>
                </c:pt>
                <c:pt idx="166">
                  <c:v>-12</c:v>
                </c:pt>
                <c:pt idx="167">
                  <c:v>-12</c:v>
                </c:pt>
                <c:pt idx="168">
                  <c:v>9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9</c:v>
                </c:pt>
                <c:pt idx="173">
                  <c:v>9</c:v>
                </c:pt>
                <c:pt idx="174">
                  <c:v>9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9</c:v>
                </c:pt>
                <c:pt idx="180">
                  <c:v>9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30</c:v>
                </c:pt>
                <c:pt idx="189">
                  <c:v>30</c:v>
                </c:pt>
                <c:pt idx="190">
                  <c:v>30</c:v>
                </c:pt>
                <c:pt idx="191">
                  <c:v>30</c:v>
                </c:pt>
                <c:pt idx="192">
                  <c:v>33</c:v>
                </c:pt>
                <c:pt idx="193">
                  <c:v>33</c:v>
                </c:pt>
                <c:pt idx="194">
                  <c:v>33</c:v>
                </c:pt>
                <c:pt idx="195">
                  <c:v>33</c:v>
                </c:pt>
                <c:pt idx="196">
                  <c:v>33</c:v>
                </c:pt>
                <c:pt idx="197">
                  <c:v>33</c:v>
                </c:pt>
                <c:pt idx="198">
                  <c:v>12</c:v>
                </c:pt>
                <c:pt idx="199">
                  <c:v>12</c:v>
                </c:pt>
                <c:pt idx="200">
                  <c:v>-8</c:v>
                </c:pt>
                <c:pt idx="201">
                  <c:v>-8</c:v>
                </c:pt>
                <c:pt idx="202">
                  <c:v>-8</c:v>
                </c:pt>
                <c:pt idx="203">
                  <c:v>-8</c:v>
                </c:pt>
                <c:pt idx="204">
                  <c:v>-8</c:v>
                </c:pt>
                <c:pt idx="205">
                  <c:v>-8</c:v>
                </c:pt>
                <c:pt idx="206">
                  <c:v>-8</c:v>
                </c:pt>
                <c:pt idx="207">
                  <c:v>-8</c:v>
                </c:pt>
                <c:pt idx="208">
                  <c:v>-8</c:v>
                </c:pt>
                <c:pt idx="209">
                  <c:v>-8</c:v>
                </c:pt>
                <c:pt idx="210">
                  <c:v>-8</c:v>
                </c:pt>
                <c:pt idx="211">
                  <c:v>-8</c:v>
                </c:pt>
                <c:pt idx="212">
                  <c:v>-8</c:v>
                </c:pt>
                <c:pt idx="213">
                  <c:v>-8</c:v>
                </c:pt>
                <c:pt idx="214">
                  <c:v>-8</c:v>
                </c:pt>
                <c:pt idx="215">
                  <c:v>-8</c:v>
                </c:pt>
                <c:pt idx="216">
                  <c:v>-8</c:v>
                </c:pt>
                <c:pt idx="217">
                  <c:v>-8</c:v>
                </c:pt>
                <c:pt idx="218">
                  <c:v>-8</c:v>
                </c:pt>
                <c:pt idx="219">
                  <c:v>-8</c:v>
                </c:pt>
                <c:pt idx="220">
                  <c:v>-8</c:v>
                </c:pt>
                <c:pt idx="221">
                  <c:v>-8</c:v>
                </c:pt>
                <c:pt idx="222">
                  <c:v>-8</c:v>
                </c:pt>
                <c:pt idx="223">
                  <c:v>-8</c:v>
                </c:pt>
                <c:pt idx="224">
                  <c:v>-3</c:v>
                </c:pt>
                <c:pt idx="225">
                  <c:v>-3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-7</c:v>
                </c:pt>
                <c:pt idx="230">
                  <c:v>-7</c:v>
                </c:pt>
                <c:pt idx="231">
                  <c:v>-7</c:v>
                </c:pt>
                <c:pt idx="232">
                  <c:v>-7</c:v>
                </c:pt>
                <c:pt idx="233">
                  <c:v>-24</c:v>
                </c:pt>
                <c:pt idx="234">
                  <c:v>-24</c:v>
                </c:pt>
                <c:pt idx="235">
                  <c:v>-24</c:v>
                </c:pt>
                <c:pt idx="236">
                  <c:v>-24</c:v>
                </c:pt>
                <c:pt idx="237">
                  <c:v>-24</c:v>
                </c:pt>
                <c:pt idx="238">
                  <c:v>-24</c:v>
                </c:pt>
                <c:pt idx="239">
                  <c:v>-37</c:v>
                </c:pt>
                <c:pt idx="240">
                  <c:v>-37</c:v>
                </c:pt>
                <c:pt idx="241">
                  <c:v>-37</c:v>
                </c:pt>
                <c:pt idx="242">
                  <c:v>-37</c:v>
                </c:pt>
                <c:pt idx="243">
                  <c:v>-37</c:v>
                </c:pt>
                <c:pt idx="244">
                  <c:v>-37</c:v>
                </c:pt>
                <c:pt idx="245">
                  <c:v>-37</c:v>
                </c:pt>
                <c:pt idx="246">
                  <c:v>-37</c:v>
                </c:pt>
                <c:pt idx="247">
                  <c:v>-37</c:v>
                </c:pt>
                <c:pt idx="248">
                  <c:v>-37</c:v>
                </c:pt>
                <c:pt idx="249">
                  <c:v>-37</c:v>
                </c:pt>
                <c:pt idx="250">
                  <c:v>-37</c:v>
                </c:pt>
                <c:pt idx="251">
                  <c:v>-37</c:v>
                </c:pt>
                <c:pt idx="252">
                  <c:v>-37</c:v>
                </c:pt>
                <c:pt idx="253">
                  <c:v>-37</c:v>
                </c:pt>
                <c:pt idx="254">
                  <c:v>-37</c:v>
                </c:pt>
                <c:pt idx="255">
                  <c:v>-37</c:v>
                </c:pt>
                <c:pt idx="256">
                  <c:v>-37</c:v>
                </c:pt>
                <c:pt idx="257">
                  <c:v>-37</c:v>
                </c:pt>
                <c:pt idx="258">
                  <c:v>-37</c:v>
                </c:pt>
                <c:pt idx="259">
                  <c:v>-37</c:v>
                </c:pt>
                <c:pt idx="260">
                  <c:v>-37</c:v>
                </c:pt>
                <c:pt idx="261">
                  <c:v>-37</c:v>
                </c:pt>
                <c:pt idx="262">
                  <c:v>-37</c:v>
                </c:pt>
                <c:pt idx="263">
                  <c:v>-37</c:v>
                </c:pt>
                <c:pt idx="264">
                  <c:v>-37</c:v>
                </c:pt>
                <c:pt idx="265">
                  <c:v>-37</c:v>
                </c:pt>
                <c:pt idx="266">
                  <c:v>-37</c:v>
                </c:pt>
                <c:pt idx="267">
                  <c:v>-37</c:v>
                </c:pt>
                <c:pt idx="268">
                  <c:v>-37</c:v>
                </c:pt>
                <c:pt idx="269">
                  <c:v>-37</c:v>
                </c:pt>
                <c:pt idx="270">
                  <c:v>-37</c:v>
                </c:pt>
                <c:pt idx="271">
                  <c:v>-37</c:v>
                </c:pt>
                <c:pt idx="272">
                  <c:v>-37</c:v>
                </c:pt>
                <c:pt idx="273">
                  <c:v>-37</c:v>
                </c:pt>
                <c:pt idx="274">
                  <c:v>-37</c:v>
                </c:pt>
                <c:pt idx="275">
                  <c:v>-37</c:v>
                </c:pt>
                <c:pt idx="276">
                  <c:v>-37</c:v>
                </c:pt>
                <c:pt idx="277">
                  <c:v>-37</c:v>
                </c:pt>
                <c:pt idx="278">
                  <c:v>-37</c:v>
                </c:pt>
                <c:pt idx="279">
                  <c:v>-37</c:v>
                </c:pt>
                <c:pt idx="280">
                  <c:v>-37</c:v>
                </c:pt>
                <c:pt idx="281">
                  <c:v>-37</c:v>
                </c:pt>
                <c:pt idx="282">
                  <c:v>-37</c:v>
                </c:pt>
                <c:pt idx="283">
                  <c:v>-24</c:v>
                </c:pt>
                <c:pt idx="284">
                  <c:v>-24</c:v>
                </c:pt>
                <c:pt idx="285">
                  <c:v>-24</c:v>
                </c:pt>
                <c:pt idx="286">
                  <c:v>-24</c:v>
                </c:pt>
                <c:pt idx="287">
                  <c:v>-24</c:v>
                </c:pt>
                <c:pt idx="288">
                  <c:v>-24</c:v>
                </c:pt>
                <c:pt idx="289">
                  <c:v>-4</c:v>
                </c:pt>
                <c:pt idx="290">
                  <c:v>-4</c:v>
                </c:pt>
                <c:pt idx="291">
                  <c:v>-4</c:v>
                </c:pt>
                <c:pt idx="292">
                  <c:v>-22</c:v>
                </c:pt>
                <c:pt idx="293">
                  <c:v>-22</c:v>
                </c:pt>
                <c:pt idx="294">
                  <c:v>-37</c:v>
                </c:pt>
                <c:pt idx="295">
                  <c:v>-37</c:v>
                </c:pt>
                <c:pt idx="296">
                  <c:v>-37</c:v>
                </c:pt>
                <c:pt idx="297">
                  <c:v>-37</c:v>
                </c:pt>
                <c:pt idx="298">
                  <c:v>-37</c:v>
                </c:pt>
                <c:pt idx="299">
                  <c:v>-37</c:v>
                </c:pt>
                <c:pt idx="300">
                  <c:v>-37</c:v>
                </c:pt>
                <c:pt idx="301">
                  <c:v>-37</c:v>
                </c:pt>
                <c:pt idx="302">
                  <c:v>-37</c:v>
                </c:pt>
                <c:pt idx="303">
                  <c:v>-37</c:v>
                </c:pt>
                <c:pt idx="304">
                  <c:v>-37</c:v>
                </c:pt>
                <c:pt idx="305">
                  <c:v>-37</c:v>
                </c:pt>
                <c:pt idx="306">
                  <c:v>-37</c:v>
                </c:pt>
                <c:pt idx="307">
                  <c:v>-37</c:v>
                </c:pt>
                <c:pt idx="308">
                  <c:v>-37</c:v>
                </c:pt>
                <c:pt idx="309">
                  <c:v>-4</c:v>
                </c:pt>
                <c:pt idx="310">
                  <c:v>-4</c:v>
                </c:pt>
                <c:pt idx="311">
                  <c:v>-4</c:v>
                </c:pt>
                <c:pt idx="312">
                  <c:v>-4</c:v>
                </c:pt>
                <c:pt idx="313">
                  <c:v>-4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7.5</c:v>
                </c:pt>
                <c:pt idx="319">
                  <c:v>-1.5</c:v>
                </c:pt>
                <c:pt idx="320">
                  <c:v>-1.5</c:v>
                </c:pt>
                <c:pt idx="321">
                  <c:v>-1.5</c:v>
                </c:pt>
                <c:pt idx="322">
                  <c:v>-1.5</c:v>
                </c:pt>
                <c:pt idx="323">
                  <c:v>-14.5</c:v>
                </c:pt>
                <c:pt idx="324">
                  <c:v>-14.5</c:v>
                </c:pt>
                <c:pt idx="325">
                  <c:v>-14.5</c:v>
                </c:pt>
                <c:pt idx="326">
                  <c:v>-18.5</c:v>
                </c:pt>
                <c:pt idx="327">
                  <c:v>-18.5</c:v>
                </c:pt>
                <c:pt idx="328">
                  <c:v>-18.5</c:v>
                </c:pt>
                <c:pt idx="329">
                  <c:v>-18.5</c:v>
                </c:pt>
                <c:pt idx="330">
                  <c:v>-33.5</c:v>
                </c:pt>
                <c:pt idx="331">
                  <c:v>-80.5</c:v>
                </c:pt>
                <c:pt idx="332">
                  <c:v>-85.5</c:v>
                </c:pt>
                <c:pt idx="333">
                  <c:v>-85.5</c:v>
                </c:pt>
                <c:pt idx="334">
                  <c:v>-85.5</c:v>
                </c:pt>
                <c:pt idx="335">
                  <c:v>-85.5</c:v>
                </c:pt>
                <c:pt idx="336">
                  <c:v>-85.5</c:v>
                </c:pt>
                <c:pt idx="337">
                  <c:v>-85.5</c:v>
                </c:pt>
                <c:pt idx="338">
                  <c:v>-85.5</c:v>
                </c:pt>
                <c:pt idx="339">
                  <c:v>-85.5</c:v>
                </c:pt>
                <c:pt idx="340">
                  <c:v>-85.5</c:v>
                </c:pt>
                <c:pt idx="341">
                  <c:v>-85.5</c:v>
                </c:pt>
                <c:pt idx="342">
                  <c:v>-85.5</c:v>
                </c:pt>
                <c:pt idx="343">
                  <c:v>-85.5</c:v>
                </c:pt>
                <c:pt idx="344">
                  <c:v>-96.5</c:v>
                </c:pt>
                <c:pt idx="345">
                  <c:v>-96.5</c:v>
                </c:pt>
                <c:pt idx="346">
                  <c:v>-96.5</c:v>
                </c:pt>
                <c:pt idx="347">
                  <c:v>-96.5</c:v>
                </c:pt>
                <c:pt idx="348">
                  <c:v>-96.5</c:v>
                </c:pt>
                <c:pt idx="349">
                  <c:v>-96.5</c:v>
                </c:pt>
                <c:pt idx="350">
                  <c:v>-96.5</c:v>
                </c:pt>
                <c:pt idx="351">
                  <c:v>-96.5</c:v>
                </c:pt>
                <c:pt idx="352">
                  <c:v>-96.5</c:v>
                </c:pt>
                <c:pt idx="353">
                  <c:v>-96.5</c:v>
                </c:pt>
                <c:pt idx="354">
                  <c:v>-96.5</c:v>
                </c:pt>
                <c:pt idx="355">
                  <c:v>-96.5</c:v>
                </c:pt>
                <c:pt idx="356">
                  <c:v>-96.5</c:v>
                </c:pt>
                <c:pt idx="357">
                  <c:v>-96.5</c:v>
                </c:pt>
                <c:pt idx="358">
                  <c:v>-96.5</c:v>
                </c:pt>
                <c:pt idx="359">
                  <c:v>-107.5</c:v>
                </c:pt>
                <c:pt idx="360">
                  <c:v>-107.5</c:v>
                </c:pt>
                <c:pt idx="361">
                  <c:v>-96.5</c:v>
                </c:pt>
                <c:pt idx="362">
                  <c:v>-85.5</c:v>
                </c:pt>
                <c:pt idx="363">
                  <c:v>-85.5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ECEst!$I$1</c:f>
              <c:strCache>
                <c:ptCount val="1"/>
                <c:pt idx="0">
                  <c:v>McCain Weak</c:v>
                </c:pt>
              </c:strCache>
            </c:strRef>
          </c:tx>
          <c:spPr>
            <a:ln w="38100">
              <a:solidFill>
                <a:srgbClr val="F2088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ECEst!$A$2:$A$367</c:f>
              <c:strCache>
                <c:ptCount val="366"/>
                <c:pt idx="123">
                  <c:v>38052.6625</c:v>
                </c:pt>
                <c:pt idx="124">
                  <c:v>38053.84722222222</c:v>
                </c:pt>
                <c:pt idx="125">
                  <c:v>38054.99513888889</c:v>
                </c:pt>
                <c:pt idx="126">
                  <c:v>38055.725694444445</c:v>
                </c:pt>
                <c:pt idx="127">
                  <c:v>38056.33541666667</c:v>
                </c:pt>
                <c:pt idx="128">
                  <c:v>38057.373611111114</c:v>
                </c:pt>
                <c:pt idx="129">
                  <c:v>38058.3375</c:v>
                </c:pt>
                <c:pt idx="130">
                  <c:v>38059.643055555556</c:v>
                </c:pt>
                <c:pt idx="131">
                  <c:v>38060.873611111114</c:v>
                </c:pt>
                <c:pt idx="132">
                  <c:v>38061.041666666664</c:v>
                </c:pt>
                <c:pt idx="133">
                  <c:v>38062.25625</c:v>
                </c:pt>
                <c:pt idx="134">
                  <c:v>38063.31805555556</c:v>
                </c:pt>
                <c:pt idx="135">
                  <c:v>38064.69930555556</c:v>
                </c:pt>
                <c:pt idx="136">
                  <c:v>38065.30347222222</c:v>
                </c:pt>
                <c:pt idx="137">
                  <c:v>38066.29513888889</c:v>
                </c:pt>
                <c:pt idx="138">
                  <c:v>38067.75069444445</c:v>
                </c:pt>
                <c:pt idx="139">
                  <c:v>38068.97708333333</c:v>
                </c:pt>
                <c:pt idx="140">
                  <c:v>38069.3125</c:v>
                </c:pt>
                <c:pt idx="141">
                  <c:v>38070.35833333333</c:v>
                </c:pt>
                <c:pt idx="142">
                  <c:v>38071.34444444445</c:v>
                </c:pt>
                <c:pt idx="143">
                  <c:v>38072.30347222222</c:v>
                </c:pt>
                <c:pt idx="144">
                  <c:v>38073.23819444444</c:v>
                </c:pt>
                <c:pt idx="145">
                  <c:v>38074.927083333336</c:v>
                </c:pt>
                <c:pt idx="146">
                  <c:v>38075.16527777778</c:v>
                </c:pt>
                <c:pt idx="147">
                  <c:v>38076.79375</c:v>
                </c:pt>
                <c:pt idx="148">
                  <c:v>38077.28611111111</c:v>
                </c:pt>
                <c:pt idx="149">
                  <c:v>38078.365277777775</c:v>
                </c:pt>
                <c:pt idx="150">
                  <c:v>38079.70208333333</c:v>
                </c:pt>
                <c:pt idx="151">
                  <c:v>38080.11111111111</c:v>
                </c:pt>
                <c:pt idx="152">
                  <c:v>38081.200694444444</c:v>
                </c:pt>
                <c:pt idx="153">
                  <c:v>38082.92638888889</c:v>
                </c:pt>
                <c:pt idx="154">
                  <c:v>38083.67986111111</c:v>
                </c:pt>
                <c:pt idx="155">
                  <c:v>38084.67361111111</c:v>
                </c:pt>
                <c:pt idx="156">
                  <c:v>38085.646527777775</c:v>
                </c:pt>
                <c:pt idx="157">
                  <c:v>38086.68680555555</c:v>
                </c:pt>
                <c:pt idx="158">
                  <c:v>38087.60763888889</c:v>
                </c:pt>
                <c:pt idx="159">
                  <c:v>38088.96944444445</c:v>
                </c:pt>
                <c:pt idx="160">
                  <c:v>38089.657638888886</c:v>
                </c:pt>
                <c:pt idx="161">
                  <c:v>38090.65972222222</c:v>
                </c:pt>
                <c:pt idx="162">
                  <c:v>38091.631944444445</c:v>
                </c:pt>
                <c:pt idx="163">
                  <c:v>38092.65833333333</c:v>
                </c:pt>
                <c:pt idx="164">
                  <c:v>38093.67986111111</c:v>
                </c:pt>
                <c:pt idx="165">
                  <c:v>38094.95138888889</c:v>
                </c:pt>
                <c:pt idx="166">
                  <c:v>38095.84097222222</c:v>
                </c:pt>
                <c:pt idx="167">
                  <c:v>38096.74930555555</c:v>
                </c:pt>
                <c:pt idx="168">
                  <c:v>38097.30416666667</c:v>
                </c:pt>
                <c:pt idx="169">
                  <c:v>38098.3875</c:v>
                </c:pt>
                <c:pt idx="170">
                  <c:v>38099.33472222222</c:v>
                </c:pt>
                <c:pt idx="171">
                  <c:v>38100.694444444445</c:v>
                </c:pt>
                <c:pt idx="172">
                  <c:v>38101.67638888889</c:v>
                </c:pt>
                <c:pt idx="173">
                  <c:v>38102.9625</c:v>
                </c:pt>
                <c:pt idx="174">
                  <c:v>38103.82916666667</c:v>
                </c:pt>
                <c:pt idx="175">
                  <c:v>38104.56805555556</c:v>
                </c:pt>
                <c:pt idx="176">
                  <c:v>38105.59166666667</c:v>
                </c:pt>
                <c:pt idx="177">
                  <c:v>38106.64444444444</c:v>
                </c:pt>
                <c:pt idx="178">
                  <c:v>38107.53958333333</c:v>
                </c:pt>
                <c:pt idx="179">
                  <c:v>38108.665972222225</c:v>
                </c:pt>
                <c:pt idx="180">
                  <c:v>38109.850694444445</c:v>
                </c:pt>
                <c:pt idx="181">
                  <c:v>38110.65694444445</c:v>
                </c:pt>
                <c:pt idx="182">
                  <c:v>38111.544444444444</c:v>
                </c:pt>
                <c:pt idx="183">
                  <c:v>38112.572222222225</c:v>
                </c:pt>
                <c:pt idx="184">
                  <c:v>38113.65347222222</c:v>
                </c:pt>
                <c:pt idx="185">
                  <c:v>38114.59166666667</c:v>
                </c:pt>
                <c:pt idx="186">
                  <c:v>38115.39236111111</c:v>
                </c:pt>
                <c:pt idx="187">
                  <c:v>38116.78611111111</c:v>
                </c:pt>
                <c:pt idx="188">
                  <c:v>38117.96875</c:v>
                </c:pt>
                <c:pt idx="189">
                  <c:v>38118.552083333336</c:v>
                </c:pt>
                <c:pt idx="190">
                  <c:v>38119.325694444444</c:v>
                </c:pt>
                <c:pt idx="191">
                  <c:v>38120.7125</c:v>
                </c:pt>
                <c:pt idx="192">
                  <c:v>38121.64236111111</c:v>
                </c:pt>
                <c:pt idx="193">
                  <c:v>38122.57847222222</c:v>
                </c:pt>
                <c:pt idx="194">
                  <c:v>38123.86736111111</c:v>
                </c:pt>
                <c:pt idx="195">
                  <c:v>38124.743055555555</c:v>
                </c:pt>
                <c:pt idx="196">
                  <c:v>38125.64375</c:v>
                </c:pt>
                <c:pt idx="197">
                  <c:v>38126.64513888889</c:v>
                </c:pt>
                <c:pt idx="198">
                  <c:v>38127.65277777778</c:v>
                </c:pt>
                <c:pt idx="199">
                  <c:v>38128.5875</c:v>
                </c:pt>
                <c:pt idx="200">
                  <c:v>38129.65972222222</c:v>
                </c:pt>
                <c:pt idx="201">
                  <c:v>38130.98055555556</c:v>
                </c:pt>
                <c:pt idx="202">
                  <c:v>38131.349583333336</c:v>
                </c:pt>
                <c:pt idx="203">
                  <c:v>38132.6125</c:v>
                </c:pt>
                <c:pt idx="204">
                  <c:v>38133.61736111111</c:v>
                </c:pt>
                <c:pt idx="205">
                  <c:v>38134.68194444444</c:v>
                </c:pt>
                <c:pt idx="206">
                  <c:v>38135.65833333333</c:v>
                </c:pt>
                <c:pt idx="207">
                  <c:v>38136.71319444444</c:v>
                </c:pt>
                <c:pt idx="208">
                  <c:v>38137.75763888889</c:v>
                </c:pt>
                <c:pt idx="209">
                  <c:v>38138.802777777775</c:v>
                </c:pt>
                <c:pt idx="210">
                  <c:v>38139.68125</c:v>
                </c:pt>
                <c:pt idx="211">
                  <c:v>38140.64027777778</c:v>
                </c:pt>
                <c:pt idx="212">
                  <c:v>38141.69583333333</c:v>
                </c:pt>
                <c:pt idx="213">
                  <c:v>38142.70208333333</c:v>
                </c:pt>
                <c:pt idx="214">
                  <c:v>38143.55069444444</c:v>
                </c:pt>
                <c:pt idx="215">
                  <c:v>38144.839583333334</c:v>
                </c:pt>
                <c:pt idx="216">
                  <c:v>38145.13680555556</c:v>
                </c:pt>
                <c:pt idx="217">
                  <c:v>38146.14722222222</c:v>
                </c:pt>
                <c:pt idx="218">
                  <c:v>38147.17222222222</c:v>
                </c:pt>
                <c:pt idx="219">
                  <c:v>38148.26666666667</c:v>
                </c:pt>
                <c:pt idx="220">
                  <c:v>38149.60138888889</c:v>
                </c:pt>
                <c:pt idx="221">
                  <c:v>38150.555555555555</c:v>
                </c:pt>
                <c:pt idx="222">
                  <c:v>38151.92986111111</c:v>
                </c:pt>
                <c:pt idx="223">
                  <c:v>38152.90625</c:v>
                </c:pt>
                <c:pt idx="224">
                  <c:v>38153.66111111111</c:v>
                </c:pt>
                <c:pt idx="225">
                  <c:v>38154.59652777778</c:v>
                </c:pt>
                <c:pt idx="226">
                  <c:v>38155.62291666667</c:v>
                </c:pt>
                <c:pt idx="227">
                  <c:v>38156.260416666664</c:v>
                </c:pt>
                <c:pt idx="228">
                  <c:v>38157.26388888889</c:v>
                </c:pt>
                <c:pt idx="229">
                  <c:v>38158.270833333336</c:v>
                </c:pt>
                <c:pt idx="230">
                  <c:v>38159.82708333333</c:v>
                </c:pt>
                <c:pt idx="231">
                  <c:v>38160.58194444444</c:v>
                </c:pt>
                <c:pt idx="232">
                  <c:v>38161.29861111111</c:v>
                </c:pt>
                <c:pt idx="233">
                  <c:v>38162.26666666667</c:v>
                </c:pt>
                <c:pt idx="234">
                  <c:v>38163.23611111111</c:v>
                </c:pt>
                <c:pt idx="235">
                  <c:v>38164.29583333333</c:v>
                </c:pt>
                <c:pt idx="236">
                  <c:v>38165.885416666664</c:v>
                </c:pt>
                <c:pt idx="237">
                  <c:v>38166.44513888889</c:v>
                </c:pt>
                <c:pt idx="238">
                  <c:v>38167.32986111111</c:v>
                </c:pt>
                <c:pt idx="239">
                  <c:v>38168.6375</c:v>
                </c:pt>
                <c:pt idx="240">
                  <c:v>38169.57708333333</c:v>
                </c:pt>
                <c:pt idx="241">
                  <c:v>38170.61041666667</c:v>
                </c:pt>
                <c:pt idx="242">
                  <c:v>38171.822916666664</c:v>
                </c:pt>
                <c:pt idx="243">
                  <c:v>38172.74097222222</c:v>
                </c:pt>
                <c:pt idx="244">
                  <c:v>38173.875</c:v>
                </c:pt>
                <c:pt idx="245">
                  <c:v>38174.67222222222</c:v>
                </c:pt>
                <c:pt idx="246">
                  <c:v>38175.620833333334</c:v>
                </c:pt>
                <c:pt idx="247">
                  <c:v>38176.7125</c:v>
                </c:pt>
                <c:pt idx="248">
                  <c:v>38177.63680555556</c:v>
                </c:pt>
                <c:pt idx="249">
                  <c:v>38178.674305555556</c:v>
                </c:pt>
                <c:pt idx="250">
                  <c:v>38179.91736111111</c:v>
                </c:pt>
                <c:pt idx="251">
                  <c:v>38180.947222222225</c:v>
                </c:pt>
                <c:pt idx="252">
                  <c:v>38181.70277777778</c:v>
                </c:pt>
                <c:pt idx="253">
                  <c:v>38182.6375</c:v>
                </c:pt>
                <c:pt idx="254">
                  <c:v>38183.61319444444</c:v>
                </c:pt>
                <c:pt idx="255">
                  <c:v>38184.63055555556</c:v>
                </c:pt>
                <c:pt idx="256">
                  <c:v>38185.15833333333</c:v>
                </c:pt>
                <c:pt idx="257">
                  <c:v>38186.220138888886</c:v>
                </c:pt>
                <c:pt idx="258">
                  <c:v>38187.18819444445</c:v>
                </c:pt>
                <c:pt idx="259">
                  <c:v>38188.23472222222</c:v>
                </c:pt>
                <c:pt idx="260">
                  <c:v>38189.42152777778</c:v>
                </c:pt>
                <c:pt idx="261">
                  <c:v>38190.592361111114</c:v>
                </c:pt>
                <c:pt idx="262">
                  <c:v>38191.57986111111</c:v>
                </c:pt>
                <c:pt idx="263">
                  <c:v>38192.21111111111</c:v>
                </c:pt>
                <c:pt idx="264">
                  <c:v>38193.842361111114</c:v>
                </c:pt>
                <c:pt idx="265">
                  <c:v>38194.74166666667</c:v>
                </c:pt>
                <c:pt idx="266">
                  <c:v>38195.65833333333</c:v>
                </c:pt>
                <c:pt idx="267">
                  <c:v>38196.69583333333</c:v>
                </c:pt>
                <c:pt idx="268">
                  <c:v>38197.60277777778</c:v>
                </c:pt>
                <c:pt idx="269">
                  <c:v>38198.54583333333</c:v>
                </c:pt>
                <c:pt idx="270">
                  <c:v>38199.58125</c:v>
                </c:pt>
                <c:pt idx="271">
                  <c:v>38200.79861111111</c:v>
                </c:pt>
                <c:pt idx="272">
                  <c:v>38201.69513888889</c:v>
                </c:pt>
                <c:pt idx="273">
                  <c:v>38202.71319444444</c:v>
                </c:pt>
                <c:pt idx="274">
                  <c:v>38203.677083333336</c:v>
                </c:pt>
                <c:pt idx="275">
                  <c:v>38204.66111111111</c:v>
                </c:pt>
                <c:pt idx="276">
                  <c:v>38205.47430555556</c:v>
                </c:pt>
                <c:pt idx="277">
                  <c:v>38206.62777777778</c:v>
                </c:pt>
                <c:pt idx="278">
                  <c:v>38207.94930555556</c:v>
                </c:pt>
                <c:pt idx="279">
                  <c:v>38208.92152777778</c:v>
                </c:pt>
                <c:pt idx="280">
                  <c:v>38209.34027777778</c:v>
                </c:pt>
                <c:pt idx="281">
                  <c:v>38210.592361111114</c:v>
                </c:pt>
                <c:pt idx="282">
                  <c:v>38211.635416666664</c:v>
                </c:pt>
                <c:pt idx="283">
                  <c:v>38212.62708333333</c:v>
                </c:pt>
                <c:pt idx="284">
                  <c:v>38213.60486111111</c:v>
                </c:pt>
                <c:pt idx="285">
                  <c:v>38214.87847222222</c:v>
                </c:pt>
                <c:pt idx="286">
                  <c:v>38215.743055555555</c:v>
                </c:pt>
                <c:pt idx="287">
                  <c:v>38216.61944444444</c:v>
                </c:pt>
                <c:pt idx="288">
                  <c:v>38217.58888888889</c:v>
                </c:pt>
                <c:pt idx="289">
                  <c:v>38218.60763888889</c:v>
                </c:pt>
                <c:pt idx="290">
                  <c:v>38219.638194444444</c:v>
                </c:pt>
                <c:pt idx="291">
                  <c:v>38220.614583333336</c:v>
                </c:pt>
                <c:pt idx="292">
                  <c:v>38221.81875</c:v>
                </c:pt>
                <c:pt idx="293">
                  <c:v>38222.82847222222</c:v>
                </c:pt>
                <c:pt idx="294">
                  <c:v>38223.77847222222</c:v>
                </c:pt>
                <c:pt idx="295">
                  <c:v>38224.7</c:v>
                </c:pt>
                <c:pt idx="296">
                  <c:v>38225.76944444444</c:v>
                </c:pt>
                <c:pt idx="297">
                  <c:v>38226.947222222225</c:v>
                </c:pt>
                <c:pt idx="298">
                  <c:v>38227.623611111114</c:v>
                </c:pt>
                <c:pt idx="299">
                  <c:v>38228.717361111114</c:v>
                </c:pt>
                <c:pt idx="300">
                  <c:v>38229.955555555556</c:v>
                </c:pt>
                <c:pt idx="301">
                  <c:v>38230.95416666667</c:v>
                </c:pt>
                <c:pt idx="302">
                  <c:v>38231.868055555555</c:v>
                </c:pt>
                <c:pt idx="303">
                  <c:v>38232.81180555555</c:v>
                </c:pt>
                <c:pt idx="304">
                  <c:v>38233.96666666667</c:v>
                </c:pt>
                <c:pt idx="305">
                  <c:v>38234.63125</c:v>
                </c:pt>
                <c:pt idx="306">
                  <c:v>38235.82916666667</c:v>
                </c:pt>
                <c:pt idx="307">
                  <c:v>38236.91111111111</c:v>
                </c:pt>
                <c:pt idx="308">
                  <c:v>38237.68125</c:v>
                </c:pt>
                <c:pt idx="309">
                  <c:v>38238.53125</c:v>
                </c:pt>
                <c:pt idx="310">
                  <c:v>38239.63680555556</c:v>
                </c:pt>
                <c:pt idx="311">
                  <c:v>38240.63125</c:v>
                </c:pt>
                <c:pt idx="312">
                  <c:v>38241.60555555556</c:v>
                </c:pt>
                <c:pt idx="313">
                  <c:v>38242.92569444444</c:v>
                </c:pt>
                <c:pt idx="314">
                  <c:v>38243.78055555555</c:v>
                </c:pt>
                <c:pt idx="315">
                  <c:v>38244.646527777775</c:v>
                </c:pt>
                <c:pt idx="316">
                  <c:v>38245.29583333333</c:v>
                </c:pt>
                <c:pt idx="317">
                  <c:v>38246.59444444445</c:v>
                </c:pt>
                <c:pt idx="318">
                  <c:v>38247.64166666667</c:v>
                </c:pt>
                <c:pt idx="319">
                  <c:v>38248.2625</c:v>
                </c:pt>
                <c:pt idx="320">
                  <c:v>38249.88680555556</c:v>
                </c:pt>
                <c:pt idx="321">
                  <c:v>38250.73888888889</c:v>
                </c:pt>
                <c:pt idx="322">
                  <c:v>38251.57083333333</c:v>
                </c:pt>
                <c:pt idx="323">
                  <c:v>38252.555555555555</c:v>
                </c:pt>
                <c:pt idx="324">
                  <c:v>38253.28958333333</c:v>
                </c:pt>
                <c:pt idx="325">
                  <c:v>38254.629166666666</c:v>
                </c:pt>
                <c:pt idx="326">
                  <c:v>38255.61388888889</c:v>
                </c:pt>
                <c:pt idx="327">
                  <c:v>38256.84166666667</c:v>
                </c:pt>
                <c:pt idx="328">
                  <c:v>38257.79583333333</c:v>
                </c:pt>
                <c:pt idx="329">
                  <c:v>38258.63888888889</c:v>
                </c:pt>
                <c:pt idx="330">
                  <c:v>38259.61666666667</c:v>
                </c:pt>
                <c:pt idx="331">
                  <c:v>38260.55347222222</c:v>
                </c:pt>
                <c:pt idx="332">
                  <c:v>38261.561111111114</c:v>
                </c:pt>
                <c:pt idx="333">
                  <c:v>38262.58541666667</c:v>
                </c:pt>
                <c:pt idx="334">
                  <c:v>38263.925</c:v>
                </c:pt>
                <c:pt idx="335">
                  <c:v>38264.88402777778</c:v>
                </c:pt>
                <c:pt idx="336">
                  <c:v>38265.66736111111</c:v>
                </c:pt>
                <c:pt idx="337">
                  <c:v>38266.646527777775</c:v>
                </c:pt>
                <c:pt idx="338">
                  <c:v>38267.631944444445</c:v>
                </c:pt>
                <c:pt idx="339">
                  <c:v>38268.69652777778</c:v>
                </c:pt>
                <c:pt idx="340">
                  <c:v>38269.674305555556</c:v>
                </c:pt>
                <c:pt idx="341">
                  <c:v>38270.80902777778</c:v>
                </c:pt>
                <c:pt idx="342">
                  <c:v>38271.91736111111</c:v>
                </c:pt>
                <c:pt idx="343">
                  <c:v>38272.59375</c:v>
                </c:pt>
                <c:pt idx="344">
                  <c:v>38273.59444444445</c:v>
                </c:pt>
                <c:pt idx="345">
                  <c:v>38274.62777777778</c:v>
                </c:pt>
                <c:pt idx="346">
                  <c:v>38275.64513888889</c:v>
                </c:pt>
                <c:pt idx="347">
                  <c:v>38276.69375</c:v>
                </c:pt>
                <c:pt idx="348">
                  <c:v>38277.845138888886</c:v>
                </c:pt>
                <c:pt idx="349">
                  <c:v>38278.950694444444</c:v>
                </c:pt>
                <c:pt idx="350">
                  <c:v>38279.74444444444</c:v>
                </c:pt>
                <c:pt idx="351">
                  <c:v>38280.60902777778</c:v>
                </c:pt>
                <c:pt idx="352">
                  <c:v>38281.6375</c:v>
                </c:pt>
                <c:pt idx="353">
                  <c:v>38282.62569444445</c:v>
                </c:pt>
                <c:pt idx="354">
                  <c:v>38283.68472222222</c:v>
                </c:pt>
                <c:pt idx="355">
                  <c:v>38284.899305555555</c:v>
                </c:pt>
                <c:pt idx="356">
                  <c:v>38285.861805555556</c:v>
                </c:pt>
                <c:pt idx="357">
                  <c:v>38286.55694444444</c:v>
                </c:pt>
                <c:pt idx="358">
                  <c:v>38287.62013888889</c:v>
                </c:pt>
                <c:pt idx="359">
                  <c:v>38288.68958333333</c:v>
                </c:pt>
                <c:pt idx="360">
                  <c:v>38289.62777777778</c:v>
                </c:pt>
                <c:pt idx="361">
                  <c:v>38290.56319444445</c:v>
                </c:pt>
                <c:pt idx="362">
                  <c:v>38291.89444444444</c:v>
                </c:pt>
                <c:pt idx="363">
                  <c:v>38292.768055555556</c:v>
                </c:pt>
              </c:strCache>
            </c:strRef>
          </c:xVal>
          <c:yVal>
            <c:numRef>
              <c:f>ECEst!$I$2:$I$367</c:f>
              <c:numCache>
                <c:ptCount val="366"/>
                <c:pt idx="123">
                  <c:v>-106</c:v>
                </c:pt>
                <c:pt idx="124">
                  <c:v>-106</c:v>
                </c:pt>
                <c:pt idx="125">
                  <c:v>-106</c:v>
                </c:pt>
                <c:pt idx="126">
                  <c:v>-106</c:v>
                </c:pt>
                <c:pt idx="127">
                  <c:v>-106</c:v>
                </c:pt>
                <c:pt idx="128">
                  <c:v>-106</c:v>
                </c:pt>
                <c:pt idx="129">
                  <c:v>-106</c:v>
                </c:pt>
                <c:pt idx="130">
                  <c:v>-106</c:v>
                </c:pt>
                <c:pt idx="131">
                  <c:v>-106</c:v>
                </c:pt>
                <c:pt idx="132">
                  <c:v>-106</c:v>
                </c:pt>
                <c:pt idx="133">
                  <c:v>-106</c:v>
                </c:pt>
                <c:pt idx="134">
                  <c:v>-106</c:v>
                </c:pt>
                <c:pt idx="135">
                  <c:v>-106</c:v>
                </c:pt>
                <c:pt idx="136">
                  <c:v>-106</c:v>
                </c:pt>
                <c:pt idx="137">
                  <c:v>-106</c:v>
                </c:pt>
                <c:pt idx="138">
                  <c:v>-106</c:v>
                </c:pt>
                <c:pt idx="139">
                  <c:v>-106</c:v>
                </c:pt>
                <c:pt idx="140">
                  <c:v>-106</c:v>
                </c:pt>
                <c:pt idx="141">
                  <c:v>-106</c:v>
                </c:pt>
                <c:pt idx="142">
                  <c:v>-106</c:v>
                </c:pt>
                <c:pt idx="143">
                  <c:v>-106</c:v>
                </c:pt>
                <c:pt idx="144">
                  <c:v>-106</c:v>
                </c:pt>
                <c:pt idx="145">
                  <c:v>-93</c:v>
                </c:pt>
                <c:pt idx="146">
                  <c:v>-93</c:v>
                </c:pt>
                <c:pt idx="147">
                  <c:v>-93</c:v>
                </c:pt>
                <c:pt idx="148">
                  <c:v>-93</c:v>
                </c:pt>
                <c:pt idx="149">
                  <c:v>-93</c:v>
                </c:pt>
                <c:pt idx="150">
                  <c:v>-93</c:v>
                </c:pt>
                <c:pt idx="151">
                  <c:v>-93</c:v>
                </c:pt>
                <c:pt idx="152">
                  <c:v>-93</c:v>
                </c:pt>
                <c:pt idx="153">
                  <c:v>-93</c:v>
                </c:pt>
                <c:pt idx="154">
                  <c:v>-93</c:v>
                </c:pt>
                <c:pt idx="155">
                  <c:v>-93</c:v>
                </c:pt>
                <c:pt idx="156">
                  <c:v>-93</c:v>
                </c:pt>
                <c:pt idx="157">
                  <c:v>-93</c:v>
                </c:pt>
                <c:pt idx="158">
                  <c:v>-73</c:v>
                </c:pt>
                <c:pt idx="159">
                  <c:v>-73</c:v>
                </c:pt>
                <c:pt idx="160">
                  <c:v>-73</c:v>
                </c:pt>
                <c:pt idx="161">
                  <c:v>-73</c:v>
                </c:pt>
                <c:pt idx="162">
                  <c:v>-73</c:v>
                </c:pt>
                <c:pt idx="163">
                  <c:v>-39</c:v>
                </c:pt>
                <c:pt idx="164">
                  <c:v>-39</c:v>
                </c:pt>
                <c:pt idx="165">
                  <c:v>-61</c:v>
                </c:pt>
                <c:pt idx="166">
                  <c:v>-61</c:v>
                </c:pt>
                <c:pt idx="167">
                  <c:v>-61</c:v>
                </c:pt>
                <c:pt idx="168">
                  <c:v>-61</c:v>
                </c:pt>
                <c:pt idx="169">
                  <c:v>-61</c:v>
                </c:pt>
                <c:pt idx="170">
                  <c:v>-61</c:v>
                </c:pt>
                <c:pt idx="171">
                  <c:v>-61</c:v>
                </c:pt>
                <c:pt idx="172">
                  <c:v>-61</c:v>
                </c:pt>
                <c:pt idx="173">
                  <c:v>-61</c:v>
                </c:pt>
                <c:pt idx="174">
                  <c:v>-61</c:v>
                </c:pt>
                <c:pt idx="175">
                  <c:v>-61</c:v>
                </c:pt>
                <c:pt idx="176">
                  <c:v>-61</c:v>
                </c:pt>
                <c:pt idx="177">
                  <c:v>-61</c:v>
                </c:pt>
                <c:pt idx="178">
                  <c:v>-61</c:v>
                </c:pt>
                <c:pt idx="179">
                  <c:v>-61</c:v>
                </c:pt>
                <c:pt idx="180">
                  <c:v>-61</c:v>
                </c:pt>
                <c:pt idx="181">
                  <c:v>-61</c:v>
                </c:pt>
                <c:pt idx="182">
                  <c:v>-61</c:v>
                </c:pt>
                <c:pt idx="183">
                  <c:v>-61</c:v>
                </c:pt>
                <c:pt idx="184">
                  <c:v>-61</c:v>
                </c:pt>
                <c:pt idx="185">
                  <c:v>-61</c:v>
                </c:pt>
                <c:pt idx="186">
                  <c:v>-61</c:v>
                </c:pt>
                <c:pt idx="187">
                  <c:v>-61</c:v>
                </c:pt>
                <c:pt idx="188">
                  <c:v>-61</c:v>
                </c:pt>
                <c:pt idx="189">
                  <c:v>-61</c:v>
                </c:pt>
                <c:pt idx="190">
                  <c:v>-61</c:v>
                </c:pt>
                <c:pt idx="191">
                  <c:v>-61</c:v>
                </c:pt>
                <c:pt idx="192">
                  <c:v>-61</c:v>
                </c:pt>
                <c:pt idx="193">
                  <c:v>-58</c:v>
                </c:pt>
                <c:pt idx="194">
                  <c:v>-58</c:v>
                </c:pt>
                <c:pt idx="195">
                  <c:v>-58</c:v>
                </c:pt>
                <c:pt idx="196">
                  <c:v>-53</c:v>
                </c:pt>
                <c:pt idx="197">
                  <c:v>-53</c:v>
                </c:pt>
                <c:pt idx="198">
                  <c:v>-40</c:v>
                </c:pt>
                <c:pt idx="199">
                  <c:v>-51</c:v>
                </c:pt>
                <c:pt idx="200">
                  <c:v>-64</c:v>
                </c:pt>
                <c:pt idx="201">
                  <c:v>-64</c:v>
                </c:pt>
                <c:pt idx="202">
                  <c:v>-64</c:v>
                </c:pt>
                <c:pt idx="203">
                  <c:v>-64</c:v>
                </c:pt>
                <c:pt idx="204">
                  <c:v>-64</c:v>
                </c:pt>
                <c:pt idx="205">
                  <c:v>-64</c:v>
                </c:pt>
                <c:pt idx="206">
                  <c:v>-64</c:v>
                </c:pt>
                <c:pt idx="207">
                  <c:v>-64</c:v>
                </c:pt>
                <c:pt idx="208">
                  <c:v>-64</c:v>
                </c:pt>
                <c:pt idx="209">
                  <c:v>-64</c:v>
                </c:pt>
                <c:pt idx="210">
                  <c:v>-64</c:v>
                </c:pt>
                <c:pt idx="211">
                  <c:v>-64</c:v>
                </c:pt>
                <c:pt idx="212">
                  <c:v>-64</c:v>
                </c:pt>
                <c:pt idx="213">
                  <c:v>-64</c:v>
                </c:pt>
                <c:pt idx="214">
                  <c:v>-64</c:v>
                </c:pt>
                <c:pt idx="215">
                  <c:v>-75</c:v>
                </c:pt>
                <c:pt idx="216">
                  <c:v>-75</c:v>
                </c:pt>
                <c:pt idx="217">
                  <c:v>-75</c:v>
                </c:pt>
                <c:pt idx="218">
                  <c:v>-67</c:v>
                </c:pt>
                <c:pt idx="219">
                  <c:v>-67</c:v>
                </c:pt>
                <c:pt idx="220">
                  <c:v>-67</c:v>
                </c:pt>
                <c:pt idx="221">
                  <c:v>-67</c:v>
                </c:pt>
                <c:pt idx="222">
                  <c:v>-67</c:v>
                </c:pt>
                <c:pt idx="223">
                  <c:v>-67</c:v>
                </c:pt>
                <c:pt idx="224">
                  <c:v>-67</c:v>
                </c:pt>
                <c:pt idx="225">
                  <c:v>-67</c:v>
                </c:pt>
                <c:pt idx="226">
                  <c:v>-82</c:v>
                </c:pt>
                <c:pt idx="227">
                  <c:v>-109</c:v>
                </c:pt>
                <c:pt idx="228">
                  <c:v>-109</c:v>
                </c:pt>
                <c:pt idx="229">
                  <c:v>-109</c:v>
                </c:pt>
                <c:pt idx="230">
                  <c:v>-109</c:v>
                </c:pt>
                <c:pt idx="231">
                  <c:v>-109</c:v>
                </c:pt>
                <c:pt idx="232">
                  <c:v>-109</c:v>
                </c:pt>
                <c:pt idx="233">
                  <c:v>-109</c:v>
                </c:pt>
                <c:pt idx="234">
                  <c:v>-109</c:v>
                </c:pt>
                <c:pt idx="235">
                  <c:v>-109</c:v>
                </c:pt>
                <c:pt idx="236">
                  <c:v>-109</c:v>
                </c:pt>
                <c:pt idx="237">
                  <c:v>-109</c:v>
                </c:pt>
                <c:pt idx="238">
                  <c:v>-109</c:v>
                </c:pt>
                <c:pt idx="239">
                  <c:v>-109</c:v>
                </c:pt>
                <c:pt idx="240">
                  <c:v>-109</c:v>
                </c:pt>
                <c:pt idx="241">
                  <c:v>-112</c:v>
                </c:pt>
                <c:pt idx="242">
                  <c:v>-112</c:v>
                </c:pt>
                <c:pt idx="243">
                  <c:v>-112</c:v>
                </c:pt>
                <c:pt idx="244">
                  <c:v>-112</c:v>
                </c:pt>
                <c:pt idx="245">
                  <c:v>-112</c:v>
                </c:pt>
                <c:pt idx="246">
                  <c:v>-112</c:v>
                </c:pt>
                <c:pt idx="247">
                  <c:v>-93</c:v>
                </c:pt>
                <c:pt idx="248">
                  <c:v>-93</c:v>
                </c:pt>
                <c:pt idx="249">
                  <c:v>-93</c:v>
                </c:pt>
                <c:pt idx="250">
                  <c:v>-93</c:v>
                </c:pt>
                <c:pt idx="251">
                  <c:v>-93</c:v>
                </c:pt>
                <c:pt idx="252">
                  <c:v>-93</c:v>
                </c:pt>
                <c:pt idx="253">
                  <c:v>-93</c:v>
                </c:pt>
                <c:pt idx="254">
                  <c:v>-120</c:v>
                </c:pt>
                <c:pt idx="255">
                  <c:v>-120</c:v>
                </c:pt>
                <c:pt idx="256">
                  <c:v>-120</c:v>
                </c:pt>
                <c:pt idx="257">
                  <c:v>-120</c:v>
                </c:pt>
                <c:pt idx="258">
                  <c:v>-120</c:v>
                </c:pt>
                <c:pt idx="259">
                  <c:v>-120</c:v>
                </c:pt>
                <c:pt idx="260">
                  <c:v>-120</c:v>
                </c:pt>
                <c:pt idx="261">
                  <c:v>-120</c:v>
                </c:pt>
                <c:pt idx="262">
                  <c:v>-120</c:v>
                </c:pt>
                <c:pt idx="263">
                  <c:v>-120</c:v>
                </c:pt>
                <c:pt idx="264">
                  <c:v>-112</c:v>
                </c:pt>
                <c:pt idx="265">
                  <c:v>-112</c:v>
                </c:pt>
                <c:pt idx="266">
                  <c:v>-112</c:v>
                </c:pt>
                <c:pt idx="267">
                  <c:v>-112</c:v>
                </c:pt>
                <c:pt idx="268">
                  <c:v>-112</c:v>
                </c:pt>
                <c:pt idx="269">
                  <c:v>-112</c:v>
                </c:pt>
                <c:pt idx="270">
                  <c:v>-112</c:v>
                </c:pt>
                <c:pt idx="271">
                  <c:v>-112</c:v>
                </c:pt>
                <c:pt idx="272">
                  <c:v>-112</c:v>
                </c:pt>
                <c:pt idx="273">
                  <c:v>-112</c:v>
                </c:pt>
                <c:pt idx="274">
                  <c:v>-112</c:v>
                </c:pt>
                <c:pt idx="275">
                  <c:v>-112</c:v>
                </c:pt>
                <c:pt idx="276">
                  <c:v>-112</c:v>
                </c:pt>
                <c:pt idx="277">
                  <c:v>-112</c:v>
                </c:pt>
                <c:pt idx="278">
                  <c:v>-112</c:v>
                </c:pt>
                <c:pt idx="279">
                  <c:v>-112</c:v>
                </c:pt>
                <c:pt idx="280">
                  <c:v>-112</c:v>
                </c:pt>
                <c:pt idx="281">
                  <c:v>-112</c:v>
                </c:pt>
                <c:pt idx="282">
                  <c:v>-115</c:v>
                </c:pt>
                <c:pt idx="283">
                  <c:v>-115</c:v>
                </c:pt>
                <c:pt idx="284">
                  <c:v>-115</c:v>
                </c:pt>
                <c:pt idx="285">
                  <c:v>-115</c:v>
                </c:pt>
                <c:pt idx="286">
                  <c:v>-115</c:v>
                </c:pt>
                <c:pt idx="287">
                  <c:v>-115</c:v>
                </c:pt>
                <c:pt idx="288">
                  <c:v>-115</c:v>
                </c:pt>
                <c:pt idx="289">
                  <c:v>-115</c:v>
                </c:pt>
                <c:pt idx="290">
                  <c:v>-115</c:v>
                </c:pt>
                <c:pt idx="291">
                  <c:v>-115</c:v>
                </c:pt>
                <c:pt idx="292">
                  <c:v>-115</c:v>
                </c:pt>
                <c:pt idx="293">
                  <c:v>-115</c:v>
                </c:pt>
                <c:pt idx="294">
                  <c:v>-115</c:v>
                </c:pt>
                <c:pt idx="295">
                  <c:v>-115</c:v>
                </c:pt>
                <c:pt idx="296">
                  <c:v>-115</c:v>
                </c:pt>
                <c:pt idx="297">
                  <c:v>-115</c:v>
                </c:pt>
                <c:pt idx="298">
                  <c:v>-115</c:v>
                </c:pt>
                <c:pt idx="299">
                  <c:v>-115</c:v>
                </c:pt>
                <c:pt idx="300">
                  <c:v>-115</c:v>
                </c:pt>
                <c:pt idx="301">
                  <c:v>-115</c:v>
                </c:pt>
                <c:pt idx="302">
                  <c:v>-115</c:v>
                </c:pt>
                <c:pt idx="303">
                  <c:v>-115</c:v>
                </c:pt>
                <c:pt idx="304">
                  <c:v>-112</c:v>
                </c:pt>
                <c:pt idx="305">
                  <c:v>-112</c:v>
                </c:pt>
                <c:pt idx="306">
                  <c:v>-112</c:v>
                </c:pt>
                <c:pt idx="307">
                  <c:v>-112</c:v>
                </c:pt>
                <c:pt idx="308">
                  <c:v>-112</c:v>
                </c:pt>
                <c:pt idx="309">
                  <c:v>-112</c:v>
                </c:pt>
                <c:pt idx="310">
                  <c:v>-112</c:v>
                </c:pt>
                <c:pt idx="311">
                  <c:v>-112</c:v>
                </c:pt>
                <c:pt idx="312">
                  <c:v>-97</c:v>
                </c:pt>
                <c:pt idx="313">
                  <c:v>-86</c:v>
                </c:pt>
                <c:pt idx="314">
                  <c:v>-59</c:v>
                </c:pt>
                <c:pt idx="315">
                  <c:v>-59</c:v>
                </c:pt>
                <c:pt idx="316">
                  <c:v>-59</c:v>
                </c:pt>
                <c:pt idx="317">
                  <c:v>-59</c:v>
                </c:pt>
                <c:pt idx="318">
                  <c:v>-86</c:v>
                </c:pt>
                <c:pt idx="319">
                  <c:v>-86</c:v>
                </c:pt>
                <c:pt idx="320">
                  <c:v>-94</c:v>
                </c:pt>
                <c:pt idx="321">
                  <c:v>-109</c:v>
                </c:pt>
                <c:pt idx="322">
                  <c:v>-109</c:v>
                </c:pt>
                <c:pt idx="323">
                  <c:v>-109</c:v>
                </c:pt>
                <c:pt idx="324">
                  <c:v>-109</c:v>
                </c:pt>
                <c:pt idx="325">
                  <c:v>-109</c:v>
                </c:pt>
                <c:pt idx="326">
                  <c:v>-109</c:v>
                </c:pt>
                <c:pt idx="327">
                  <c:v>-106</c:v>
                </c:pt>
                <c:pt idx="328">
                  <c:v>-106</c:v>
                </c:pt>
                <c:pt idx="329">
                  <c:v>-106</c:v>
                </c:pt>
                <c:pt idx="330">
                  <c:v>-106</c:v>
                </c:pt>
                <c:pt idx="331">
                  <c:v>-106</c:v>
                </c:pt>
                <c:pt idx="332">
                  <c:v>-106</c:v>
                </c:pt>
                <c:pt idx="333">
                  <c:v>-106</c:v>
                </c:pt>
                <c:pt idx="334">
                  <c:v>-106</c:v>
                </c:pt>
                <c:pt idx="335">
                  <c:v>-106</c:v>
                </c:pt>
                <c:pt idx="336">
                  <c:v>-106</c:v>
                </c:pt>
                <c:pt idx="337">
                  <c:v>-106</c:v>
                </c:pt>
                <c:pt idx="338">
                  <c:v>-106</c:v>
                </c:pt>
                <c:pt idx="339">
                  <c:v>-106</c:v>
                </c:pt>
                <c:pt idx="340">
                  <c:v>-111</c:v>
                </c:pt>
                <c:pt idx="341">
                  <c:v>-111</c:v>
                </c:pt>
                <c:pt idx="342">
                  <c:v>-111</c:v>
                </c:pt>
                <c:pt idx="343">
                  <c:v>-111</c:v>
                </c:pt>
                <c:pt idx="344">
                  <c:v>-111</c:v>
                </c:pt>
                <c:pt idx="345">
                  <c:v>-111</c:v>
                </c:pt>
                <c:pt idx="346">
                  <c:v>-111</c:v>
                </c:pt>
                <c:pt idx="347">
                  <c:v>-111</c:v>
                </c:pt>
                <c:pt idx="348">
                  <c:v>-114</c:v>
                </c:pt>
                <c:pt idx="349">
                  <c:v>-114</c:v>
                </c:pt>
                <c:pt idx="350">
                  <c:v>-114</c:v>
                </c:pt>
                <c:pt idx="351">
                  <c:v>-114</c:v>
                </c:pt>
                <c:pt idx="352">
                  <c:v>-114</c:v>
                </c:pt>
                <c:pt idx="353">
                  <c:v>-109</c:v>
                </c:pt>
                <c:pt idx="354">
                  <c:v>-124</c:v>
                </c:pt>
                <c:pt idx="355">
                  <c:v>-124</c:v>
                </c:pt>
                <c:pt idx="356">
                  <c:v>-124</c:v>
                </c:pt>
                <c:pt idx="357">
                  <c:v>-124</c:v>
                </c:pt>
                <c:pt idx="358">
                  <c:v>-124</c:v>
                </c:pt>
                <c:pt idx="359">
                  <c:v>-137</c:v>
                </c:pt>
                <c:pt idx="360">
                  <c:v>-127</c:v>
                </c:pt>
                <c:pt idx="361">
                  <c:v>-127</c:v>
                </c:pt>
                <c:pt idx="362">
                  <c:v>-137</c:v>
                </c:pt>
                <c:pt idx="363">
                  <c:v>-137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ECEst!$H$1</c:f>
              <c:strCache>
                <c:ptCount val="1"/>
                <c:pt idx="0">
                  <c:v>McCain Strong</c:v>
                </c:pt>
              </c:strCache>
            </c:strRef>
          </c:tx>
          <c:spPr>
            <a:ln w="38100">
              <a:solidFill>
                <a:srgbClr val="DD080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ECEst!$A$2:$A$367</c:f>
              <c:strCache>
                <c:ptCount val="366"/>
                <c:pt idx="123">
                  <c:v>38052.6625</c:v>
                </c:pt>
                <c:pt idx="124">
                  <c:v>38053.84722222222</c:v>
                </c:pt>
                <c:pt idx="125">
                  <c:v>38054.99513888889</c:v>
                </c:pt>
                <c:pt idx="126">
                  <c:v>38055.725694444445</c:v>
                </c:pt>
                <c:pt idx="127">
                  <c:v>38056.33541666667</c:v>
                </c:pt>
                <c:pt idx="128">
                  <c:v>38057.373611111114</c:v>
                </c:pt>
                <c:pt idx="129">
                  <c:v>38058.3375</c:v>
                </c:pt>
                <c:pt idx="130">
                  <c:v>38059.643055555556</c:v>
                </c:pt>
                <c:pt idx="131">
                  <c:v>38060.873611111114</c:v>
                </c:pt>
                <c:pt idx="132">
                  <c:v>38061.041666666664</c:v>
                </c:pt>
                <c:pt idx="133">
                  <c:v>38062.25625</c:v>
                </c:pt>
                <c:pt idx="134">
                  <c:v>38063.31805555556</c:v>
                </c:pt>
                <c:pt idx="135">
                  <c:v>38064.69930555556</c:v>
                </c:pt>
                <c:pt idx="136">
                  <c:v>38065.30347222222</c:v>
                </c:pt>
                <c:pt idx="137">
                  <c:v>38066.29513888889</c:v>
                </c:pt>
                <c:pt idx="138">
                  <c:v>38067.75069444445</c:v>
                </c:pt>
                <c:pt idx="139">
                  <c:v>38068.97708333333</c:v>
                </c:pt>
                <c:pt idx="140">
                  <c:v>38069.3125</c:v>
                </c:pt>
                <c:pt idx="141">
                  <c:v>38070.35833333333</c:v>
                </c:pt>
                <c:pt idx="142">
                  <c:v>38071.34444444445</c:v>
                </c:pt>
                <c:pt idx="143">
                  <c:v>38072.30347222222</c:v>
                </c:pt>
                <c:pt idx="144">
                  <c:v>38073.23819444444</c:v>
                </c:pt>
                <c:pt idx="145">
                  <c:v>38074.927083333336</c:v>
                </c:pt>
                <c:pt idx="146">
                  <c:v>38075.16527777778</c:v>
                </c:pt>
                <c:pt idx="147">
                  <c:v>38076.79375</c:v>
                </c:pt>
                <c:pt idx="148">
                  <c:v>38077.28611111111</c:v>
                </c:pt>
                <c:pt idx="149">
                  <c:v>38078.365277777775</c:v>
                </c:pt>
                <c:pt idx="150">
                  <c:v>38079.70208333333</c:v>
                </c:pt>
                <c:pt idx="151">
                  <c:v>38080.11111111111</c:v>
                </c:pt>
                <c:pt idx="152">
                  <c:v>38081.200694444444</c:v>
                </c:pt>
                <c:pt idx="153">
                  <c:v>38082.92638888889</c:v>
                </c:pt>
                <c:pt idx="154">
                  <c:v>38083.67986111111</c:v>
                </c:pt>
                <c:pt idx="155">
                  <c:v>38084.67361111111</c:v>
                </c:pt>
                <c:pt idx="156">
                  <c:v>38085.646527777775</c:v>
                </c:pt>
                <c:pt idx="157">
                  <c:v>38086.68680555555</c:v>
                </c:pt>
                <c:pt idx="158">
                  <c:v>38087.60763888889</c:v>
                </c:pt>
                <c:pt idx="159">
                  <c:v>38088.96944444445</c:v>
                </c:pt>
                <c:pt idx="160">
                  <c:v>38089.657638888886</c:v>
                </c:pt>
                <c:pt idx="161">
                  <c:v>38090.65972222222</c:v>
                </c:pt>
                <c:pt idx="162">
                  <c:v>38091.631944444445</c:v>
                </c:pt>
                <c:pt idx="163">
                  <c:v>38092.65833333333</c:v>
                </c:pt>
                <c:pt idx="164">
                  <c:v>38093.67986111111</c:v>
                </c:pt>
                <c:pt idx="165">
                  <c:v>38094.95138888889</c:v>
                </c:pt>
                <c:pt idx="166">
                  <c:v>38095.84097222222</c:v>
                </c:pt>
                <c:pt idx="167">
                  <c:v>38096.74930555555</c:v>
                </c:pt>
                <c:pt idx="168">
                  <c:v>38097.30416666667</c:v>
                </c:pt>
                <c:pt idx="169">
                  <c:v>38098.3875</c:v>
                </c:pt>
                <c:pt idx="170">
                  <c:v>38099.33472222222</c:v>
                </c:pt>
                <c:pt idx="171">
                  <c:v>38100.694444444445</c:v>
                </c:pt>
                <c:pt idx="172">
                  <c:v>38101.67638888889</c:v>
                </c:pt>
                <c:pt idx="173">
                  <c:v>38102.9625</c:v>
                </c:pt>
                <c:pt idx="174">
                  <c:v>38103.82916666667</c:v>
                </c:pt>
                <c:pt idx="175">
                  <c:v>38104.56805555556</c:v>
                </c:pt>
                <c:pt idx="176">
                  <c:v>38105.59166666667</c:v>
                </c:pt>
                <c:pt idx="177">
                  <c:v>38106.64444444444</c:v>
                </c:pt>
                <c:pt idx="178">
                  <c:v>38107.53958333333</c:v>
                </c:pt>
                <c:pt idx="179">
                  <c:v>38108.665972222225</c:v>
                </c:pt>
                <c:pt idx="180">
                  <c:v>38109.850694444445</c:v>
                </c:pt>
                <c:pt idx="181">
                  <c:v>38110.65694444445</c:v>
                </c:pt>
                <c:pt idx="182">
                  <c:v>38111.544444444444</c:v>
                </c:pt>
                <c:pt idx="183">
                  <c:v>38112.572222222225</c:v>
                </c:pt>
                <c:pt idx="184">
                  <c:v>38113.65347222222</c:v>
                </c:pt>
                <c:pt idx="185">
                  <c:v>38114.59166666667</c:v>
                </c:pt>
                <c:pt idx="186">
                  <c:v>38115.39236111111</c:v>
                </c:pt>
                <c:pt idx="187">
                  <c:v>38116.78611111111</c:v>
                </c:pt>
                <c:pt idx="188">
                  <c:v>38117.96875</c:v>
                </c:pt>
                <c:pt idx="189">
                  <c:v>38118.552083333336</c:v>
                </c:pt>
                <c:pt idx="190">
                  <c:v>38119.325694444444</c:v>
                </c:pt>
                <c:pt idx="191">
                  <c:v>38120.7125</c:v>
                </c:pt>
                <c:pt idx="192">
                  <c:v>38121.64236111111</c:v>
                </c:pt>
                <c:pt idx="193">
                  <c:v>38122.57847222222</c:v>
                </c:pt>
                <c:pt idx="194">
                  <c:v>38123.86736111111</c:v>
                </c:pt>
                <c:pt idx="195">
                  <c:v>38124.743055555555</c:v>
                </c:pt>
                <c:pt idx="196">
                  <c:v>38125.64375</c:v>
                </c:pt>
                <c:pt idx="197">
                  <c:v>38126.64513888889</c:v>
                </c:pt>
                <c:pt idx="198">
                  <c:v>38127.65277777778</c:v>
                </c:pt>
                <c:pt idx="199">
                  <c:v>38128.5875</c:v>
                </c:pt>
                <c:pt idx="200">
                  <c:v>38129.65972222222</c:v>
                </c:pt>
                <c:pt idx="201">
                  <c:v>38130.98055555556</c:v>
                </c:pt>
                <c:pt idx="202">
                  <c:v>38131.349583333336</c:v>
                </c:pt>
                <c:pt idx="203">
                  <c:v>38132.6125</c:v>
                </c:pt>
                <c:pt idx="204">
                  <c:v>38133.61736111111</c:v>
                </c:pt>
                <c:pt idx="205">
                  <c:v>38134.68194444444</c:v>
                </c:pt>
                <c:pt idx="206">
                  <c:v>38135.65833333333</c:v>
                </c:pt>
                <c:pt idx="207">
                  <c:v>38136.71319444444</c:v>
                </c:pt>
                <c:pt idx="208">
                  <c:v>38137.75763888889</c:v>
                </c:pt>
                <c:pt idx="209">
                  <c:v>38138.802777777775</c:v>
                </c:pt>
                <c:pt idx="210">
                  <c:v>38139.68125</c:v>
                </c:pt>
                <c:pt idx="211">
                  <c:v>38140.64027777778</c:v>
                </c:pt>
                <c:pt idx="212">
                  <c:v>38141.69583333333</c:v>
                </c:pt>
                <c:pt idx="213">
                  <c:v>38142.70208333333</c:v>
                </c:pt>
                <c:pt idx="214">
                  <c:v>38143.55069444444</c:v>
                </c:pt>
                <c:pt idx="215">
                  <c:v>38144.839583333334</c:v>
                </c:pt>
                <c:pt idx="216">
                  <c:v>38145.13680555556</c:v>
                </c:pt>
                <c:pt idx="217">
                  <c:v>38146.14722222222</c:v>
                </c:pt>
                <c:pt idx="218">
                  <c:v>38147.17222222222</c:v>
                </c:pt>
                <c:pt idx="219">
                  <c:v>38148.26666666667</c:v>
                </c:pt>
                <c:pt idx="220">
                  <c:v>38149.60138888889</c:v>
                </c:pt>
                <c:pt idx="221">
                  <c:v>38150.555555555555</c:v>
                </c:pt>
                <c:pt idx="222">
                  <c:v>38151.92986111111</c:v>
                </c:pt>
                <c:pt idx="223">
                  <c:v>38152.90625</c:v>
                </c:pt>
                <c:pt idx="224">
                  <c:v>38153.66111111111</c:v>
                </c:pt>
                <c:pt idx="225">
                  <c:v>38154.59652777778</c:v>
                </c:pt>
                <c:pt idx="226">
                  <c:v>38155.62291666667</c:v>
                </c:pt>
                <c:pt idx="227">
                  <c:v>38156.260416666664</c:v>
                </c:pt>
                <c:pt idx="228">
                  <c:v>38157.26388888889</c:v>
                </c:pt>
                <c:pt idx="229">
                  <c:v>38158.270833333336</c:v>
                </c:pt>
                <c:pt idx="230">
                  <c:v>38159.82708333333</c:v>
                </c:pt>
                <c:pt idx="231">
                  <c:v>38160.58194444444</c:v>
                </c:pt>
                <c:pt idx="232">
                  <c:v>38161.29861111111</c:v>
                </c:pt>
                <c:pt idx="233">
                  <c:v>38162.26666666667</c:v>
                </c:pt>
                <c:pt idx="234">
                  <c:v>38163.23611111111</c:v>
                </c:pt>
                <c:pt idx="235">
                  <c:v>38164.29583333333</c:v>
                </c:pt>
                <c:pt idx="236">
                  <c:v>38165.885416666664</c:v>
                </c:pt>
                <c:pt idx="237">
                  <c:v>38166.44513888889</c:v>
                </c:pt>
                <c:pt idx="238">
                  <c:v>38167.32986111111</c:v>
                </c:pt>
                <c:pt idx="239">
                  <c:v>38168.6375</c:v>
                </c:pt>
                <c:pt idx="240">
                  <c:v>38169.57708333333</c:v>
                </c:pt>
                <c:pt idx="241">
                  <c:v>38170.61041666667</c:v>
                </c:pt>
                <c:pt idx="242">
                  <c:v>38171.822916666664</c:v>
                </c:pt>
                <c:pt idx="243">
                  <c:v>38172.74097222222</c:v>
                </c:pt>
                <c:pt idx="244">
                  <c:v>38173.875</c:v>
                </c:pt>
                <c:pt idx="245">
                  <c:v>38174.67222222222</c:v>
                </c:pt>
                <c:pt idx="246">
                  <c:v>38175.620833333334</c:v>
                </c:pt>
                <c:pt idx="247">
                  <c:v>38176.7125</c:v>
                </c:pt>
                <c:pt idx="248">
                  <c:v>38177.63680555556</c:v>
                </c:pt>
                <c:pt idx="249">
                  <c:v>38178.674305555556</c:v>
                </c:pt>
                <c:pt idx="250">
                  <c:v>38179.91736111111</c:v>
                </c:pt>
                <c:pt idx="251">
                  <c:v>38180.947222222225</c:v>
                </c:pt>
                <c:pt idx="252">
                  <c:v>38181.70277777778</c:v>
                </c:pt>
                <c:pt idx="253">
                  <c:v>38182.6375</c:v>
                </c:pt>
                <c:pt idx="254">
                  <c:v>38183.61319444444</c:v>
                </c:pt>
                <c:pt idx="255">
                  <c:v>38184.63055555556</c:v>
                </c:pt>
                <c:pt idx="256">
                  <c:v>38185.15833333333</c:v>
                </c:pt>
                <c:pt idx="257">
                  <c:v>38186.220138888886</c:v>
                </c:pt>
                <c:pt idx="258">
                  <c:v>38187.18819444445</c:v>
                </c:pt>
                <c:pt idx="259">
                  <c:v>38188.23472222222</c:v>
                </c:pt>
                <c:pt idx="260">
                  <c:v>38189.42152777778</c:v>
                </c:pt>
                <c:pt idx="261">
                  <c:v>38190.592361111114</c:v>
                </c:pt>
                <c:pt idx="262">
                  <c:v>38191.57986111111</c:v>
                </c:pt>
                <c:pt idx="263">
                  <c:v>38192.21111111111</c:v>
                </c:pt>
                <c:pt idx="264">
                  <c:v>38193.842361111114</c:v>
                </c:pt>
                <c:pt idx="265">
                  <c:v>38194.74166666667</c:v>
                </c:pt>
                <c:pt idx="266">
                  <c:v>38195.65833333333</c:v>
                </c:pt>
                <c:pt idx="267">
                  <c:v>38196.69583333333</c:v>
                </c:pt>
                <c:pt idx="268">
                  <c:v>38197.60277777778</c:v>
                </c:pt>
                <c:pt idx="269">
                  <c:v>38198.54583333333</c:v>
                </c:pt>
                <c:pt idx="270">
                  <c:v>38199.58125</c:v>
                </c:pt>
                <c:pt idx="271">
                  <c:v>38200.79861111111</c:v>
                </c:pt>
                <c:pt idx="272">
                  <c:v>38201.69513888889</c:v>
                </c:pt>
                <c:pt idx="273">
                  <c:v>38202.71319444444</c:v>
                </c:pt>
                <c:pt idx="274">
                  <c:v>38203.677083333336</c:v>
                </c:pt>
                <c:pt idx="275">
                  <c:v>38204.66111111111</c:v>
                </c:pt>
                <c:pt idx="276">
                  <c:v>38205.47430555556</c:v>
                </c:pt>
                <c:pt idx="277">
                  <c:v>38206.62777777778</c:v>
                </c:pt>
                <c:pt idx="278">
                  <c:v>38207.94930555556</c:v>
                </c:pt>
                <c:pt idx="279">
                  <c:v>38208.92152777778</c:v>
                </c:pt>
                <c:pt idx="280">
                  <c:v>38209.34027777778</c:v>
                </c:pt>
                <c:pt idx="281">
                  <c:v>38210.592361111114</c:v>
                </c:pt>
                <c:pt idx="282">
                  <c:v>38211.635416666664</c:v>
                </c:pt>
                <c:pt idx="283">
                  <c:v>38212.62708333333</c:v>
                </c:pt>
                <c:pt idx="284">
                  <c:v>38213.60486111111</c:v>
                </c:pt>
                <c:pt idx="285">
                  <c:v>38214.87847222222</c:v>
                </c:pt>
                <c:pt idx="286">
                  <c:v>38215.743055555555</c:v>
                </c:pt>
                <c:pt idx="287">
                  <c:v>38216.61944444444</c:v>
                </c:pt>
                <c:pt idx="288">
                  <c:v>38217.58888888889</c:v>
                </c:pt>
                <c:pt idx="289">
                  <c:v>38218.60763888889</c:v>
                </c:pt>
                <c:pt idx="290">
                  <c:v>38219.638194444444</c:v>
                </c:pt>
                <c:pt idx="291">
                  <c:v>38220.614583333336</c:v>
                </c:pt>
                <c:pt idx="292">
                  <c:v>38221.81875</c:v>
                </c:pt>
                <c:pt idx="293">
                  <c:v>38222.82847222222</c:v>
                </c:pt>
                <c:pt idx="294">
                  <c:v>38223.77847222222</c:v>
                </c:pt>
                <c:pt idx="295">
                  <c:v>38224.7</c:v>
                </c:pt>
                <c:pt idx="296">
                  <c:v>38225.76944444444</c:v>
                </c:pt>
                <c:pt idx="297">
                  <c:v>38226.947222222225</c:v>
                </c:pt>
                <c:pt idx="298">
                  <c:v>38227.623611111114</c:v>
                </c:pt>
                <c:pt idx="299">
                  <c:v>38228.717361111114</c:v>
                </c:pt>
                <c:pt idx="300">
                  <c:v>38229.955555555556</c:v>
                </c:pt>
                <c:pt idx="301">
                  <c:v>38230.95416666667</c:v>
                </c:pt>
                <c:pt idx="302">
                  <c:v>38231.868055555555</c:v>
                </c:pt>
                <c:pt idx="303">
                  <c:v>38232.81180555555</c:v>
                </c:pt>
                <c:pt idx="304">
                  <c:v>38233.96666666667</c:v>
                </c:pt>
                <c:pt idx="305">
                  <c:v>38234.63125</c:v>
                </c:pt>
                <c:pt idx="306">
                  <c:v>38235.82916666667</c:v>
                </c:pt>
                <c:pt idx="307">
                  <c:v>38236.91111111111</c:v>
                </c:pt>
                <c:pt idx="308">
                  <c:v>38237.68125</c:v>
                </c:pt>
                <c:pt idx="309">
                  <c:v>38238.53125</c:v>
                </c:pt>
                <c:pt idx="310">
                  <c:v>38239.63680555556</c:v>
                </c:pt>
                <c:pt idx="311">
                  <c:v>38240.63125</c:v>
                </c:pt>
                <c:pt idx="312">
                  <c:v>38241.60555555556</c:v>
                </c:pt>
                <c:pt idx="313">
                  <c:v>38242.92569444444</c:v>
                </c:pt>
                <c:pt idx="314">
                  <c:v>38243.78055555555</c:v>
                </c:pt>
                <c:pt idx="315">
                  <c:v>38244.646527777775</c:v>
                </c:pt>
                <c:pt idx="316">
                  <c:v>38245.29583333333</c:v>
                </c:pt>
                <c:pt idx="317">
                  <c:v>38246.59444444445</c:v>
                </c:pt>
                <c:pt idx="318">
                  <c:v>38247.64166666667</c:v>
                </c:pt>
                <c:pt idx="319">
                  <c:v>38248.2625</c:v>
                </c:pt>
                <c:pt idx="320">
                  <c:v>38249.88680555556</c:v>
                </c:pt>
                <c:pt idx="321">
                  <c:v>38250.73888888889</c:v>
                </c:pt>
                <c:pt idx="322">
                  <c:v>38251.57083333333</c:v>
                </c:pt>
                <c:pt idx="323">
                  <c:v>38252.555555555555</c:v>
                </c:pt>
                <c:pt idx="324">
                  <c:v>38253.28958333333</c:v>
                </c:pt>
                <c:pt idx="325">
                  <c:v>38254.629166666666</c:v>
                </c:pt>
                <c:pt idx="326">
                  <c:v>38255.61388888889</c:v>
                </c:pt>
                <c:pt idx="327">
                  <c:v>38256.84166666667</c:v>
                </c:pt>
                <c:pt idx="328">
                  <c:v>38257.79583333333</c:v>
                </c:pt>
                <c:pt idx="329">
                  <c:v>38258.63888888889</c:v>
                </c:pt>
                <c:pt idx="330">
                  <c:v>38259.61666666667</c:v>
                </c:pt>
                <c:pt idx="331">
                  <c:v>38260.55347222222</c:v>
                </c:pt>
                <c:pt idx="332">
                  <c:v>38261.561111111114</c:v>
                </c:pt>
                <c:pt idx="333">
                  <c:v>38262.58541666667</c:v>
                </c:pt>
                <c:pt idx="334">
                  <c:v>38263.925</c:v>
                </c:pt>
                <c:pt idx="335">
                  <c:v>38264.88402777778</c:v>
                </c:pt>
                <c:pt idx="336">
                  <c:v>38265.66736111111</c:v>
                </c:pt>
                <c:pt idx="337">
                  <c:v>38266.646527777775</c:v>
                </c:pt>
                <c:pt idx="338">
                  <c:v>38267.631944444445</c:v>
                </c:pt>
                <c:pt idx="339">
                  <c:v>38268.69652777778</c:v>
                </c:pt>
                <c:pt idx="340">
                  <c:v>38269.674305555556</c:v>
                </c:pt>
                <c:pt idx="341">
                  <c:v>38270.80902777778</c:v>
                </c:pt>
                <c:pt idx="342">
                  <c:v>38271.91736111111</c:v>
                </c:pt>
                <c:pt idx="343">
                  <c:v>38272.59375</c:v>
                </c:pt>
                <c:pt idx="344">
                  <c:v>38273.59444444445</c:v>
                </c:pt>
                <c:pt idx="345">
                  <c:v>38274.62777777778</c:v>
                </c:pt>
                <c:pt idx="346">
                  <c:v>38275.64513888889</c:v>
                </c:pt>
                <c:pt idx="347">
                  <c:v>38276.69375</c:v>
                </c:pt>
                <c:pt idx="348">
                  <c:v>38277.845138888886</c:v>
                </c:pt>
                <c:pt idx="349">
                  <c:v>38278.950694444444</c:v>
                </c:pt>
                <c:pt idx="350">
                  <c:v>38279.74444444444</c:v>
                </c:pt>
                <c:pt idx="351">
                  <c:v>38280.60902777778</c:v>
                </c:pt>
                <c:pt idx="352">
                  <c:v>38281.6375</c:v>
                </c:pt>
                <c:pt idx="353">
                  <c:v>38282.62569444445</c:v>
                </c:pt>
                <c:pt idx="354">
                  <c:v>38283.68472222222</c:v>
                </c:pt>
                <c:pt idx="355">
                  <c:v>38284.899305555555</c:v>
                </c:pt>
                <c:pt idx="356">
                  <c:v>38285.861805555556</c:v>
                </c:pt>
                <c:pt idx="357">
                  <c:v>38286.55694444444</c:v>
                </c:pt>
                <c:pt idx="358">
                  <c:v>38287.62013888889</c:v>
                </c:pt>
                <c:pt idx="359">
                  <c:v>38288.68958333333</c:v>
                </c:pt>
                <c:pt idx="360">
                  <c:v>38289.62777777778</c:v>
                </c:pt>
                <c:pt idx="361">
                  <c:v>38290.56319444445</c:v>
                </c:pt>
                <c:pt idx="362">
                  <c:v>38291.89444444444</c:v>
                </c:pt>
                <c:pt idx="363">
                  <c:v>38292.768055555556</c:v>
                </c:pt>
              </c:strCache>
            </c:strRef>
          </c:xVal>
          <c:yVal>
            <c:numRef>
              <c:f>ECEst!$H$2:$H$367</c:f>
              <c:numCache>
                <c:ptCount val="366"/>
                <c:pt idx="123">
                  <c:v>-165</c:v>
                </c:pt>
                <c:pt idx="124">
                  <c:v>-165</c:v>
                </c:pt>
                <c:pt idx="125">
                  <c:v>-165</c:v>
                </c:pt>
                <c:pt idx="126">
                  <c:v>-165</c:v>
                </c:pt>
                <c:pt idx="127">
                  <c:v>-165</c:v>
                </c:pt>
                <c:pt idx="128">
                  <c:v>-165</c:v>
                </c:pt>
                <c:pt idx="129">
                  <c:v>-165</c:v>
                </c:pt>
                <c:pt idx="130">
                  <c:v>-165</c:v>
                </c:pt>
                <c:pt idx="131">
                  <c:v>-165</c:v>
                </c:pt>
                <c:pt idx="132">
                  <c:v>-165</c:v>
                </c:pt>
                <c:pt idx="133">
                  <c:v>-165</c:v>
                </c:pt>
                <c:pt idx="134">
                  <c:v>-165</c:v>
                </c:pt>
                <c:pt idx="135">
                  <c:v>-165</c:v>
                </c:pt>
                <c:pt idx="136">
                  <c:v>-165</c:v>
                </c:pt>
                <c:pt idx="137">
                  <c:v>-165</c:v>
                </c:pt>
                <c:pt idx="138">
                  <c:v>-165</c:v>
                </c:pt>
                <c:pt idx="139">
                  <c:v>-165</c:v>
                </c:pt>
                <c:pt idx="140">
                  <c:v>-165</c:v>
                </c:pt>
                <c:pt idx="141">
                  <c:v>-165</c:v>
                </c:pt>
                <c:pt idx="142">
                  <c:v>-165</c:v>
                </c:pt>
                <c:pt idx="143">
                  <c:v>-165</c:v>
                </c:pt>
                <c:pt idx="144">
                  <c:v>-165</c:v>
                </c:pt>
                <c:pt idx="145">
                  <c:v>-165</c:v>
                </c:pt>
                <c:pt idx="146">
                  <c:v>-165</c:v>
                </c:pt>
                <c:pt idx="147">
                  <c:v>-165</c:v>
                </c:pt>
                <c:pt idx="148">
                  <c:v>-165</c:v>
                </c:pt>
                <c:pt idx="149">
                  <c:v>-165</c:v>
                </c:pt>
                <c:pt idx="150">
                  <c:v>-165</c:v>
                </c:pt>
                <c:pt idx="151">
                  <c:v>-165</c:v>
                </c:pt>
                <c:pt idx="152">
                  <c:v>-165</c:v>
                </c:pt>
                <c:pt idx="153">
                  <c:v>-165</c:v>
                </c:pt>
                <c:pt idx="154">
                  <c:v>-165</c:v>
                </c:pt>
                <c:pt idx="155">
                  <c:v>-165</c:v>
                </c:pt>
                <c:pt idx="156">
                  <c:v>-165</c:v>
                </c:pt>
                <c:pt idx="157">
                  <c:v>-165</c:v>
                </c:pt>
                <c:pt idx="158">
                  <c:v>-165</c:v>
                </c:pt>
                <c:pt idx="159">
                  <c:v>-165</c:v>
                </c:pt>
                <c:pt idx="160">
                  <c:v>-165</c:v>
                </c:pt>
                <c:pt idx="161">
                  <c:v>-165</c:v>
                </c:pt>
                <c:pt idx="162">
                  <c:v>-165</c:v>
                </c:pt>
                <c:pt idx="163">
                  <c:v>-165</c:v>
                </c:pt>
                <c:pt idx="164">
                  <c:v>-165</c:v>
                </c:pt>
                <c:pt idx="165">
                  <c:v>-165</c:v>
                </c:pt>
                <c:pt idx="166">
                  <c:v>-165</c:v>
                </c:pt>
                <c:pt idx="167">
                  <c:v>-165</c:v>
                </c:pt>
                <c:pt idx="168">
                  <c:v>-165</c:v>
                </c:pt>
                <c:pt idx="169">
                  <c:v>-165</c:v>
                </c:pt>
                <c:pt idx="170">
                  <c:v>-165</c:v>
                </c:pt>
                <c:pt idx="171">
                  <c:v>-165</c:v>
                </c:pt>
                <c:pt idx="172">
                  <c:v>-165</c:v>
                </c:pt>
                <c:pt idx="173">
                  <c:v>-165</c:v>
                </c:pt>
                <c:pt idx="174">
                  <c:v>-165</c:v>
                </c:pt>
                <c:pt idx="175">
                  <c:v>-165</c:v>
                </c:pt>
                <c:pt idx="176">
                  <c:v>-165</c:v>
                </c:pt>
                <c:pt idx="177">
                  <c:v>-165</c:v>
                </c:pt>
                <c:pt idx="178">
                  <c:v>-165</c:v>
                </c:pt>
                <c:pt idx="179">
                  <c:v>-165</c:v>
                </c:pt>
                <c:pt idx="180">
                  <c:v>-165</c:v>
                </c:pt>
                <c:pt idx="181">
                  <c:v>-165</c:v>
                </c:pt>
                <c:pt idx="182">
                  <c:v>-165</c:v>
                </c:pt>
                <c:pt idx="183">
                  <c:v>-165</c:v>
                </c:pt>
                <c:pt idx="184">
                  <c:v>-165</c:v>
                </c:pt>
                <c:pt idx="185">
                  <c:v>-165</c:v>
                </c:pt>
                <c:pt idx="186">
                  <c:v>-165</c:v>
                </c:pt>
                <c:pt idx="187">
                  <c:v>-165</c:v>
                </c:pt>
                <c:pt idx="188">
                  <c:v>-165</c:v>
                </c:pt>
                <c:pt idx="189">
                  <c:v>-165</c:v>
                </c:pt>
                <c:pt idx="190">
                  <c:v>-165</c:v>
                </c:pt>
                <c:pt idx="191">
                  <c:v>-165</c:v>
                </c:pt>
                <c:pt idx="192">
                  <c:v>-165</c:v>
                </c:pt>
                <c:pt idx="193">
                  <c:v>-162</c:v>
                </c:pt>
                <c:pt idx="194">
                  <c:v>-162</c:v>
                </c:pt>
                <c:pt idx="195">
                  <c:v>-162</c:v>
                </c:pt>
                <c:pt idx="196">
                  <c:v>-162</c:v>
                </c:pt>
                <c:pt idx="197">
                  <c:v>-162</c:v>
                </c:pt>
                <c:pt idx="198">
                  <c:v>-162</c:v>
                </c:pt>
                <c:pt idx="199">
                  <c:v>-162</c:v>
                </c:pt>
                <c:pt idx="200">
                  <c:v>-162</c:v>
                </c:pt>
                <c:pt idx="201">
                  <c:v>-162</c:v>
                </c:pt>
                <c:pt idx="202">
                  <c:v>-162</c:v>
                </c:pt>
                <c:pt idx="203">
                  <c:v>-162</c:v>
                </c:pt>
                <c:pt idx="204">
                  <c:v>-162</c:v>
                </c:pt>
                <c:pt idx="205">
                  <c:v>-157</c:v>
                </c:pt>
                <c:pt idx="206">
                  <c:v>-157</c:v>
                </c:pt>
                <c:pt idx="207">
                  <c:v>-123</c:v>
                </c:pt>
                <c:pt idx="208">
                  <c:v>-123</c:v>
                </c:pt>
                <c:pt idx="209">
                  <c:v>-123</c:v>
                </c:pt>
                <c:pt idx="210">
                  <c:v>-123</c:v>
                </c:pt>
                <c:pt idx="211">
                  <c:v>-123</c:v>
                </c:pt>
                <c:pt idx="212">
                  <c:v>-123</c:v>
                </c:pt>
                <c:pt idx="213">
                  <c:v>-123</c:v>
                </c:pt>
                <c:pt idx="214">
                  <c:v>-123</c:v>
                </c:pt>
                <c:pt idx="215">
                  <c:v>-123</c:v>
                </c:pt>
                <c:pt idx="216">
                  <c:v>-123</c:v>
                </c:pt>
                <c:pt idx="217">
                  <c:v>-123</c:v>
                </c:pt>
                <c:pt idx="218">
                  <c:v>-123</c:v>
                </c:pt>
                <c:pt idx="219">
                  <c:v>-123</c:v>
                </c:pt>
                <c:pt idx="220">
                  <c:v>-123</c:v>
                </c:pt>
                <c:pt idx="221">
                  <c:v>-123</c:v>
                </c:pt>
                <c:pt idx="222">
                  <c:v>-123</c:v>
                </c:pt>
                <c:pt idx="223">
                  <c:v>-123</c:v>
                </c:pt>
                <c:pt idx="224">
                  <c:v>-123</c:v>
                </c:pt>
                <c:pt idx="225">
                  <c:v>-123</c:v>
                </c:pt>
                <c:pt idx="226">
                  <c:v>-123</c:v>
                </c:pt>
                <c:pt idx="227">
                  <c:v>-123</c:v>
                </c:pt>
                <c:pt idx="228">
                  <c:v>-138</c:v>
                </c:pt>
                <c:pt idx="229">
                  <c:v>-138</c:v>
                </c:pt>
                <c:pt idx="230">
                  <c:v>-138</c:v>
                </c:pt>
                <c:pt idx="231">
                  <c:v>-138</c:v>
                </c:pt>
                <c:pt idx="232">
                  <c:v>-138</c:v>
                </c:pt>
                <c:pt idx="233">
                  <c:v>-138</c:v>
                </c:pt>
                <c:pt idx="234">
                  <c:v>-138</c:v>
                </c:pt>
                <c:pt idx="235">
                  <c:v>-144</c:v>
                </c:pt>
                <c:pt idx="236">
                  <c:v>-144</c:v>
                </c:pt>
                <c:pt idx="237">
                  <c:v>-144</c:v>
                </c:pt>
                <c:pt idx="238">
                  <c:v>-144</c:v>
                </c:pt>
                <c:pt idx="239">
                  <c:v>-144</c:v>
                </c:pt>
                <c:pt idx="240">
                  <c:v>-144</c:v>
                </c:pt>
                <c:pt idx="241">
                  <c:v>-144</c:v>
                </c:pt>
                <c:pt idx="242">
                  <c:v>-144</c:v>
                </c:pt>
                <c:pt idx="243">
                  <c:v>-144</c:v>
                </c:pt>
                <c:pt idx="244">
                  <c:v>-144</c:v>
                </c:pt>
                <c:pt idx="245">
                  <c:v>-144</c:v>
                </c:pt>
                <c:pt idx="246">
                  <c:v>-144</c:v>
                </c:pt>
                <c:pt idx="247">
                  <c:v>-188</c:v>
                </c:pt>
                <c:pt idx="248">
                  <c:v>-188</c:v>
                </c:pt>
                <c:pt idx="249">
                  <c:v>-188</c:v>
                </c:pt>
                <c:pt idx="250">
                  <c:v>-188</c:v>
                </c:pt>
                <c:pt idx="251">
                  <c:v>-188</c:v>
                </c:pt>
                <c:pt idx="252">
                  <c:v>-188</c:v>
                </c:pt>
                <c:pt idx="253">
                  <c:v>-191</c:v>
                </c:pt>
                <c:pt idx="254">
                  <c:v>-191</c:v>
                </c:pt>
                <c:pt idx="255">
                  <c:v>-185</c:v>
                </c:pt>
                <c:pt idx="256">
                  <c:v>-185</c:v>
                </c:pt>
                <c:pt idx="257">
                  <c:v>-185</c:v>
                </c:pt>
                <c:pt idx="258">
                  <c:v>-185</c:v>
                </c:pt>
                <c:pt idx="259">
                  <c:v>-185</c:v>
                </c:pt>
                <c:pt idx="260">
                  <c:v>-185</c:v>
                </c:pt>
                <c:pt idx="261">
                  <c:v>-185</c:v>
                </c:pt>
                <c:pt idx="262">
                  <c:v>-185</c:v>
                </c:pt>
                <c:pt idx="263">
                  <c:v>-191</c:v>
                </c:pt>
                <c:pt idx="264">
                  <c:v>-191</c:v>
                </c:pt>
                <c:pt idx="265">
                  <c:v>-191</c:v>
                </c:pt>
                <c:pt idx="266">
                  <c:v>-191</c:v>
                </c:pt>
                <c:pt idx="267">
                  <c:v>-191</c:v>
                </c:pt>
                <c:pt idx="268">
                  <c:v>-191</c:v>
                </c:pt>
                <c:pt idx="269">
                  <c:v>-191</c:v>
                </c:pt>
                <c:pt idx="270">
                  <c:v>-191</c:v>
                </c:pt>
                <c:pt idx="271">
                  <c:v>-191</c:v>
                </c:pt>
                <c:pt idx="272">
                  <c:v>-191</c:v>
                </c:pt>
                <c:pt idx="273">
                  <c:v>-191</c:v>
                </c:pt>
                <c:pt idx="274">
                  <c:v>-191</c:v>
                </c:pt>
                <c:pt idx="275">
                  <c:v>-191</c:v>
                </c:pt>
                <c:pt idx="276">
                  <c:v>-191</c:v>
                </c:pt>
                <c:pt idx="277">
                  <c:v>-191</c:v>
                </c:pt>
                <c:pt idx="278">
                  <c:v>-191</c:v>
                </c:pt>
                <c:pt idx="279">
                  <c:v>-191</c:v>
                </c:pt>
                <c:pt idx="280">
                  <c:v>-191</c:v>
                </c:pt>
                <c:pt idx="281">
                  <c:v>-191</c:v>
                </c:pt>
                <c:pt idx="282">
                  <c:v>-191</c:v>
                </c:pt>
                <c:pt idx="283">
                  <c:v>-191</c:v>
                </c:pt>
                <c:pt idx="284">
                  <c:v>-191</c:v>
                </c:pt>
                <c:pt idx="285">
                  <c:v>-191</c:v>
                </c:pt>
                <c:pt idx="286">
                  <c:v>-191</c:v>
                </c:pt>
                <c:pt idx="287">
                  <c:v>-191</c:v>
                </c:pt>
                <c:pt idx="288">
                  <c:v>-191</c:v>
                </c:pt>
                <c:pt idx="289">
                  <c:v>-191</c:v>
                </c:pt>
                <c:pt idx="290">
                  <c:v>-191</c:v>
                </c:pt>
                <c:pt idx="291">
                  <c:v>-191</c:v>
                </c:pt>
                <c:pt idx="292">
                  <c:v>-185</c:v>
                </c:pt>
                <c:pt idx="293">
                  <c:v>-185</c:v>
                </c:pt>
                <c:pt idx="294">
                  <c:v>-185</c:v>
                </c:pt>
                <c:pt idx="295">
                  <c:v>-185</c:v>
                </c:pt>
                <c:pt idx="296">
                  <c:v>-185</c:v>
                </c:pt>
                <c:pt idx="297">
                  <c:v>-185</c:v>
                </c:pt>
                <c:pt idx="298">
                  <c:v>-185</c:v>
                </c:pt>
                <c:pt idx="299">
                  <c:v>-185</c:v>
                </c:pt>
                <c:pt idx="300">
                  <c:v>-185</c:v>
                </c:pt>
                <c:pt idx="301">
                  <c:v>-185</c:v>
                </c:pt>
                <c:pt idx="302">
                  <c:v>-185</c:v>
                </c:pt>
                <c:pt idx="303">
                  <c:v>-185</c:v>
                </c:pt>
                <c:pt idx="304">
                  <c:v>-185</c:v>
                </c:pt>
                <c:pt idx="305">
                  <c:v>-185</c:v>
                </c:pt>
                <c:pt idx="306">
                  <c:v>-185</c:v>
                </c:pt>
                <c:pt idx="307">
                  <c:v>-185</c:v>
                </c:pt>
                <c:pt idx="308">
                  <c:v>-185</c:v>
                </c:pt>
                <c:pt idx="309">
                  <c:v>-185</c:v>
                </c:pt>
                <c:pt idx="310">
                  <c:v>-185</c:v>
                </c:pt>
                <c:pt idx="311">
                  <c:v>-182</c:v>
                </c:pt>
                <c:pt idx="312">
                  <c:v>-167</c:v>
                </c:pt>
                <c:pt idx="313">
                  <c:v>-167</c:v>
                </c:pt>
                <c:pt idx="314">
                  <c:v>-167</c:v>
                </c:pt>
                <c:pt idx="315">
                  <c:v>-167</c:v>
                </c:pt>
                <c:pt idx="316">
                  <c:v>-164</c:v>
                </c:pt>
                <c:pt idx="317">
                  <c:v>-164</c:v>
                </c:pt>
                <c:pt idx="318">
                  <c:v>-125</c:v>
                </c:pt>
                <c:pt idx="319">
                  <c:v>-125</c:v>
                </c:pt>
                <c:pt idx="320">
                  <c:v>-125</c:v>
                </c:pt>
                <c:pt idx="321">
                  <c:v>-125</c:v>
                </c:pt>
                <c:pt idx="322">
                  <c:v>-125</c:v>
                </c:pt>
                <c:pt idx="323">
                  <c:v>-125</c:v>
                </c:pt>
                <c:pt idx="324">
                  <c:v>-125</c:v>
                </c:pt>
                <c:pt idx="325">
                  <c:v>-117</c:v>
                </c:pt>
                <c:pt idx="326">
                  <c:v>-123</c:v>
                </c:pt>
                <c:pt idx="327">
                  <c:v>-123</c:v>
                </c:pt>
                <c:pt idx="328">
                  <c:v>-123</c:v>
                </c:pt>
                <c:pt idx="329">
                  <c:v>-123</c:v>
                </c:pt>
                <c:pt idx="330">
                  <c:v>-123</c:v>
                </c:pt>
                <c:pt idx="331">
                  <c:v>-123</c:v>
                </c:pt>
                <c:pt idx="332">
                  <c:v>-123</c:v>
                </c:pt>
                <c:pt idx="333">
                  <c:v>-123</c:v>
                </c:pt>
                <c:pt idx="334">
                  <c:v>-123</c:v>
                </c:pt>
                <c:pt idx="335">
                  <c:v>-123</c:v>
                </c:pt>
                <c:pt idx="336">
                  <c:v>-123</c:v>
                </c:pt>
                <c:pt idx="337">
                  <c:v>-138</c:v>
                </c:pt>
                <c:pt idx="338">
                  <c:v>-138</c:v>
                </c:pt>
                <c:pt idx="339">
                  <c:v>-138</c:v>
                </c:pt>
                <c:pt idx="340">
                  <c:v>-138</c:v>
                </c:pt>
                <c:pt idx="341">
                  <c:v>-138</c:v>
                </c:pt>
                <c:pt idx="342">
                  <c:v>-138</c:v>
                </c:pt>
                <c:pt idx="343">
                  <c:v>-138</c:v>
                </c:pt>
                <c:pt idx="344">
                  <c:v>-138</c:v>
                </c:pt>
                <c:pt idx="345">
                  <c:v>-138</c:v>
                </c:pt>
                <c:pt idx="346">
                  <c:v>-138</c:v>
                </c:pt>
                <c:pt idx="347">
                  <c:v>-138</c:v>
                </c:pt>
                <c:pt idx="348">
                  <c:v>-138</c:v>
                </c:pt>
                <c:pt idx="349">
                  <c:v>-138</c:v>
                </c:pt>
                <c:pt idx="350">
                  <c:v>-138</c:v>
                </c:pt>
                <c:pt idx="351">
                  <c:v>-138</c:v>
                </c:pt>
                <c:pt idx="352">
                  <c:v>-138</c:v>
                </c:pt>
                <c:pt idx="353">
                  <c:v>-138</c:v>
                </c:pt>
                <c:pt idx="354">
                  <c:v>-138</c:v>
                </c:pt>
                <c:pt idx="355">
                  <c:v>-138</c:v>
                </c:pt>
                <c:pt idx="356">
                  <c:v>-132</c:v>
                </c:pt>
                <c:pt idx="357">
                  <c:v>-132</c:v>
                </c:pt>
                <c:pt idx="358">
                  <c:v>-142</c:v>
                </c:pt>
                <c:pt idx="359">
                  <c:v>-142</c:v>
                </c:pt>
                <c:pt idx="360">
                  <c:v>-142</c:v>
                </c:pt>
                <c:pt idx="361">
                  <c:v>-142</c:v>
                </c:pt>
                <c:pt idx="362">
                  <c:v>-142</c:v>
                </c:pt>
                <c:pt idx="363">
                  <c:v>-142</c:v>
                </c:pt>
              </c:numCache>
            </c:numRef>
          </c:yVal>
          <c:smooth val="0"/>
        </c:ser>
        <c:axId val="13546685"/>
        <c:axId val="54811302"/>
      </c:scatterChart>
      <c:valAx>
        <c:axId val="13546685"/>
        <c:scaling>
          <c:orientation val="minMax"/>
          <c:max val="38294"/>
          <c:min val="3804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m/d/yy" sourceLinked="0"/>
        <c:majorTickMark val="out"/>
        <c:minorTickMark val="none"/>
        <c:tickLblPos val="nextTo"/>
        <c:crossAx val="54811302"/>
        <c:crossesAt val="-269"/>
        <c:crossBetween val="midCat"/>
        <c:dispUnits/>
        <c:majorUnit val="30.625"/>
      </c:valAx>
      <c:valAx>
        <c:axId val="54811302"/>
        <c:scaling>
          <c:orientation val="minMax"/>
          <c:max val="269"/>
          <c:min val="-26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Electoral Votes from Win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0000D4"/>
                </a:solidFill>
                <a:latin typeface="Verdana"/>
                <a:ea typeface="Verdana"/>
                <a:cs typeface="Verdana"/>
              </a:defRPr>
            </a:pPr>
          </a:p>
        </c:txPr>
        <c:crossAx val="13546685"/>
        <c:crosses val="autoZero"/>
        <c:crossBetween val="midCat"/>
        <c:dispUnits/>
        <c:majorUnit val="89.666666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0.50325</cdr:y>
    </cdr:from>
    <cdr:to>
      <cdr:x>0.06775</cdr:x>
      <cdr:y>0.534</cdr:y>
    </cdr:to>
    <cdr:sp>
      <cdr:nvSpPr>
        <cdr:cNvPr id="1" name="Rectangle 1"/>
        <cdr:cNvSpPr>
          <a:spLocks/>
        </cdr:cNvSpPr>
      </cdr:nvSpPr>
      <cdr:spPr>
        <a:xfrm>
          <a:off x="561975" y="4476750"/>
          <a:ext cx="2000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4EE257"/>
              </a:solidFill>
              <a:latin typeface="Verdana"/>
              <a:ea typeface="Verdana"/>
              <a:cs typeface="Verdana"/>
            </a:rPr>
            <a:t>0</a:t>
          </a:r>
        </a:p>
      </cdr:txBody>
    </cdr:sp>
  </cdr:relSizeAnchor>
  <cdr:relSizeAnchor xmlns:cdr="http://schemas.openxmlformats.org/drawingml/2006/chartDrawing">
    <cdr:from>
      <cdr:x>0.83225</cdr:x>
      <cdr:y>0.75625</cdr:y>
    </cdr:from>
    <cdr:to>
      <cdr:x>0.98825</cdr:x>
      <cdr:y>0.8615</cdr:y>
    </cdr:to>
    <cdr:sp>
      <cdr:nvSpPr>
        <cdr:cNvPr id="2" name="TextBox 3"/>
        <cdr:cNvSpPr txBox="1">
          <a:spLocks noChangeArrowheads="1"/>
        </cdr:cNvSpPr>
      </cdr:nvSpPr>
      <cdr:spPr>
        <a:xfrm>
          <a:off x="9439275" y="6734175"/>
          <a:ext cx="17716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latin typeface="Verdana"/>
              <a:ea typeface="Verdana"/>
              <a:cs typeface="Verdana"/>
            </a:rPr>
            <a:t>Chart produced
for Abulsme.com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© 2008 Samuel Minter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44275" cy="8905875"/>
    <xdr:graphicFrame>
      <xdr:nvGraphicFramePr>
        <xdr:cNvPr id="1" name="Shape 1025"/>
        <xdr:cNvGraphicFramePr/>
      </xdr:nvGraphicFramePr>
      <xdr:xfrm>
        <a:off x="0" y="0"/>
        <a:ext cx="11344275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5"/>
  <sheetViews>
    <sheetView zoomScale="75" zoomScaleNormal="75" zoomScalePageLayoutView="0" workbookViewId="0" topLeftCell="A1">
      <pane ySplit="600" topLeftCell="BM305" activePane="bottomLeft" state="split"/>
      <selection pane="topLeft" activeCell="N1" activeCellId="7" sqref="A1:A16384 H1:H16384 I1:I16384 J1:J16384 K1:K16384 L1:L16384 M1:M16384 N1:N16384"/>
      <selection pane="bottomLeft" activeCell="E366" sqref="E366"/>
    </sheetView>
  </sheetViews>
  <sheetFormatPr defaultColWidth="11.00390625" defaultRowHeight="12.75"/>
  <cols>
    <col min="1" max="1" width="15.75390625" style="2" bestFit="1" customWidth="1"/>
  </cols>
  <sheetData>
    <row r="1" spans="1:14" ht="12.75">
      <c r="A1" s="2" t="s">
        <v>104</v>
      </c>
      <c r="B1" t="s">
        <v>108</v>
      </c>
      <c r="C1" t="s">
        <v>112</v>
      </c>
      <c r="D1" t="s">
        <v>51</v>
      </c>
      <c r="E1" t="s">
        <v>55</v>
      </c>
      <c r="F1" t="s">
        <v>106</v>
      </c>
      <c r="G1" t="s">
        <v>105</v>
      </c>
      <c r="H1" t="s">
        <v>30</v>
      </c>
      <c r="I1" t="s">
        <v>118</v>
      </c>
      <c r="J1" t="s">
        <v>56</v>
      </c>
      <c r="K1" t="s">
        <v>181</v>
      </c>
      <c r="L1" t="s">
        <v>60</v>
      </c>
      <c r="M1" t="s">
        <v>120</v>
      </c>
      <c r="N1" t="s">
        <v>31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spans="1:14" ht="12.75">
      <c r="A125" s="2">
        <v>38052.6625</v>
      </c>
      <c r="B125">
        <f>11+8+6+9+10+6+15+4+9+6+7+5+5+3</f>
        <v>104</v>
      </c>
      <c r="C125">
        <f>15+11+3+27+3</f>
        <v>59</v>
      </c>
      <c r="D125">
        <f>11+10+5+15+5+20+21+8+3+34+13</f>
        <v>145</v>
      </c>
      <c r="E125">
        <f>17+4+3+10</f>
        <v>34</v>
      </c>
      <c r="F125">
        <f aca="true" t="shared" si="0" ref="F125:F130">11+7+9+3+7+12+5</f>
        <v>54</v>
      </c>
      <c r="G125">
        <f aca="true" t="shared" si="1" ref="G125:G130">55+7+4+31+4+21+4+10+3</f>
        <v>139</v>
      </c>
      <c r="H125">
        <f aca="true" t="shared" si="2" ref="H125:H134">B125-269</f>
        <v>-165</v>
      </c>
      <c r="I125">
        <f aca="true" t="shared" si="3" ref="I125:I134">B125+C125-269</f>
        <v>-106</v>
      </c>
      <c r="J125">
        <f aca="true" t="shared" si="4" ref="J125:J134">B125+C125+D125-269</f>
        <v>39</v>
      </c>
      <c r="K125">
        <v>0</v>
      </c>
      <c r="L125">
        <f aca="true" t="shared" si="5" ref="L125:L134">269-G125-F125-E125</f>
        <v>42</v>
      </c>
      <c r="M125">
        <f aca="true" t="shared" si="6" ref="M125:M134">269-G125-F125</f>
        <v>76</v>
      </c>
      <c r="N125">
        <f aca="true" t="shared" si="7" ref="N125:N134">269-G125</f>
        <v>130</v>
      </c>
    </row>
    <row r="126" spans="1:14" ht="12.75">
      <c r="A126" s="2">
        <v>38053.84722222222</v>
      </c>
      <c r="B126">
        <f aca="true" t="shared" si="8" ref="B126:B189">11+8+6+9+10+6+15+4+9+6+7+5+5+3</f>
        <v>104</v>
      </c>
      <c r="C126">
        <f>15+11+3+27+3</f>
        <v>59</v>
      </c>
      <c r="D126">
        <f>11+10+5+15+5+20+21+8+3+34+13</f>
        <v>145</v>
      </c>
      <c r="E126">
        <f>17+4+3+10</f>
        <v>34</v>
      </c>
      <c r="F126">
        <f t="shared" si="0"/>
        <v>54</v>
      </c>
      <c r="G126">
        <f t="shared" si="1"/>
        <v>139</v>
      </c>
      <c r="H126">
        <f t="shared" si="2"/>
        <v>-165</v>
      </c>
      <c r="I126">
        <f t="shared" si="3"/>
        <v>-106</v>
      </c>
      <c r="J126">
        <f t="shared" si="4"/>
        <v>39</v>
      </c>
      <c r="K126">
        <v>0</v>
      </c>
      <c r="L126">
        <f t="shared" si="5"/>
        <v>42</v>
      </c>
      <c r="M126">
        <f t="shared" si="6"/>
        <v>76</v>
      </c>
      <c r="N126">
        <f t="shared" si="7"/>
        <v>130</v>
      </c>
    </row>
    <row r="127" spans="1:14" ht="12.75">
      <c r="A127" s="2">
        <v>38054.99513888889</v>
      </c>
      <c r="B127">
        <f t="shared" si="8"/>
        <v>104</v>
      </c>
      <c r="C127">
        <f>15+11+3+27+3</f>
        <v>59</v>
      </c>
      <c r="D127">
        <f>11+10+5+15+5+20+21+8+3+34+13</f>
        <v>145</v>
      </c>
      <c r="E127">
        <f>17+4+3+10</f>
        <v>34</v>
      </c>
      <c r="F127">
        <f t="shared" si="0"/>
        <v>54</v>
      </c>
      <c r="G127">
        <f t="shared" si="1"/>
        <v>139</v>
      </c>
      <c r="H127">
        <f t="shared" si="2"/>
        <v>-165</v>
      </c>
      <c r="I127">
        <f t="shared" si="3"/>
        <v>-106</v>
      </c>
      <c r="J127">
        <f t="shared" si="4"/>
        <v>39</v>
      </c>
      <c r="K127">
        <v>0</v>
      </c>
      <c r="L127">
        <f t="shared" si="5"/>
        <v>42</v>
      </c>
      <c r="M127">
        <f t="shared" si="6"/>
        <v>76</v>
      </c>
      <c r="N127">
        <f t="shared" si="7"/>
        <v>130</v>
      </c>
    </row>
    <row r="128" spans="1:14" ht="12.75">
      <c r="A128" s="2">
        <v>38055.725694444445</v>
      </c>
      <c r="B128">
        <f t="shared" si="8"/>
        <v>104</v>
      </c>
      <c r="C128">
        <f>15+11+3+27+3</f>
        <v>59</v>
      </c>
      <c r="D128">
        <f>11+10+5+15+5+20+21+8+3+34+13</f>
        <v>145</v>
      </c>
      <c r="E128">
        <f>17+4+3+10</f>
        <v>34</v>
      </c>
      <c r="F128">
        <f t="shared" si="0"/>
        <v>54</v>
      </c>
      <c r="G128">
        <f t="shared" si="1"/>
        <v>139</v>
      </c>
      <c r="H128">
        <f t="shared" si="2"/>
        <v>-165</v>
      </c>
      <c r="I128">
        <f t="shared" si="3"/>
        <v>-106</v>
      </c>
      <c r="J128">
        <f t="shared" si="4"/>
        <v>39</v>
      </c>
      <c r="K128">
        <v>0</v>
      </c>
      <c r="L128">
        <f t="shared" si="5"/>
        <v>42</v>
      </c>
      <c r="M128">
        <f t="shared" si="6"/>
        <v>76</v>
      </c>
      <c r="N128">
        <f t="shared" si="7"/>
        <v>130</v>
      </c>
    </row>
    <row r="129" spans="1:14" ht="12.75">
      <c r="A129" s="2">
        <v>38056.33541666667</v>
      </c>
      <c r="B129">
        <f t="shared" si="8"/>
        <v>104</v>
      </c>
      <c r="C129">
        <f>15+3+27+11+3</f>
        <v>59</v>
      </c>
      <c r="D129">
        <f>11+10+5+15+5+21+8+3+34+13</f>
        <v>125</v>
      </c>
      <c r="E129">
        <f>17+4+3+20+10</f>
        <v>54</v>
      </c>
      <c r="F129">
        <f t="shared" si="0"/>
        <v>54</v>
      </c>
      <c r="G129">
        <f t="shared" si="1"/>
        <v>139</v>
      </c>
      <c r="H129">
        <f t="shared" si="2"/>
        <v>-165</v>
      </c>
      <c r="I129">
        <f t="shared" si="3"/>
        <v>-106</v>
      </c>
      <c r="J129">
        <f t="shared" si="4"/>
        <v>19</v>
      </c>
      <c r="K129">
        <v>0</v>
      </c>
      <c r="L129">
        <f t="shared" si="5"/>
        <v>22</v>
      </c>
      <c r="M129">
        <f t="shared" si="6"/>
        <v>76</v>
      </c>
      <c r="N129">
        <f t="shared" si="7"/>
        <v>130</v>
      </c>
    </row>
    <row r="130" spans="1:14" ht="12.75">
      <c r="A130" s="2">
        <v>38057.373611111114</v>
      </c>
      <c r="B130">
        <f t="shared" si="8"/>
        <v>104</v>
      </c>
      <c r="C130">
        <f aca="true" t="shared" si="9" ref="C130:C146">15+11+3+27+3</f>
        <v>59</v>
      </c>
      <c r="D130">
        <f>11+10+5+5+8+3+34+13</f>
        <v>89</v>
      </c>
      <c r="E130">
        <f>17+4+15+3+20+21+10</f>
        <v>90</v>
      </c>
      <c r="F130">
        <f t="shared" si="0"/>
        <v>54</v>
      </c>
      <c r="G130">
        <f t="shared" si="1"/>
        <v>139</v>
      </c>
      <c r="H130">
        <f t="shared" si="2"/>
        <v>-165</v>
      </c>
      <c r="I130">
        <f t="shared" si="3"/>
        <v>-106</v>
      </c>
      <c r="J130">
        <f t="shared" si="4"/>
        <v>-17</v>
      </c>
      <c r="K130">
        <v>0</v>
      </c>
      <c r="L130">
        <f t="shared" si="5"/>
        <v>-14</v>
      </c>
      <c r="M130">
        <f t="shared" si="6"/>
        <v>76</v>
      </c>
      <c r="N130">
        <f t="shared" si="7"/>
        <v>130</v>
      </c>
    </row>
    <row r="131" spans="1:14" ht="12.75">
      <c r="A131" s="2">
        <v>38058.3375</v>
      </c>
      <c r="B131">
        <f t="shared" si="8"/>
        <v>104</v>
      </c>
      <c r="C131">
        <f t="shared" si="9"/>
        <v>59</v>
      </c>
      <c r="D131">
        <f>11+10+5+5+21+8+3+34+13</f>
        <v>110</v>
      </c>
      <c r="E131">
        <f>17+4+15+3+20+10</f>
        <v>69</v>
      </c>
      <c r="F131">
        <f aca="true" t="shared" si="10" ref="F131:F139">11+7+9+3+12+5</f>
        <v>47</v>
      </c>
      <c r="G131">
        <f aca="true" t="shared" si="11" ref="G131:G155">55+7+4+31+4+21+4+10+7+3</f>
        <v>146</v>
      </c>
      <c r="H131">
        <f t="shared" si="2"/>
        <v>-165</v>
      </c>
      <c r="I131">
        <f t="shared" si="3"/>
        <v>-106</v>
      </c>
      <c r="J131">
        <f t="shared" si="4"/>
        <v>4</v>
      </c>
      <c r="K131">
        <v>0</v>
      </c>
      <c r="L131">
        <f t="shared" si="5"/>
        <v>7</v>
      </c>
      <c r="M131">
        <f t="shared" si="6"/>
        <v>76</v>
      </c>
      <c r="N131">
        <f t="shared" si="7"/>
        <v>123</v>
      </c>
    </row>
    <row r="132" spans="1:14" ht="12.75">
      <c r="A132" s="2">
        <v>38059.643055555556</v>
      </c>
      <c r="B132">
        <f t="shared" si="8"/>
        <v>104</v>
      </c>
      <c r="C132">
        <f t="shared" si="9"/>
        <v>59</v>
      </c>
      <c r="D132">
        <f>11+10+5+5+21+8+3+34+13</f>
        <v>110</v>
      </c>
      <c r="E132">
        <f>17+4+15+3+20+10</f>
        <v>69</v>
      </c>
      <c r="F132">
        <f t="shared" si="10"/>
        <v>47</v>
      </c>
      <c r="G132">
        <f t="shared" si="11"/>
        <v>146</v>
      </c>
      <c r="H132">
        <f t="shared" si="2"/>
        <v>-165</v>
      </c>
      <c r="I132">
        <f t="shared" si="3"/>
        <v>-106</v>
      </c>
      <c r="J132">
        <f t="shared" si="4"/>
        <v>4</v>
      </c>
      <c r="K132">
        <v>0</v>
      </c>
      <c r="L132">
        <f t="shared" si="5"/>
        <v>7</v>
      </c>
      <c r="M132">
        <f t="shared" si="6"/>
        <v>76</v>
      </c>
      <c r="N132">
        <f t="shared" si="7"/>
        <v>123</v>
      </c>
    </row>
    <row r="133" spans="1:14" ht="12.75">
      <c r="A133" s="2">
        <v>38060.873611111114</v>
      </c>
      <c r="B133">
        <f t="shared" si="8"/>
        <v>104</v>
      </c>
      <c r="C133">
        <f t="shared" si="9"/>
        <v>59</v>
      </c>
      <c r="D133">
        <f aca="true" t="shared" si="12" ref="D133:D139">11+10+5+5+20+21+8+3+34+13</f>
        <v>130</v>
      </c>
      <c r="E133">
        <f aca="true" t="shared" si="13" ref="E133:E142">17+4+15+3+10</f>
        <v>49</v>
      </c>
      <c r="F133">
        <f t="shared" si="10"/>
        <v>47</v>
      </c>
      <c r="G133">
        <f t="shared" si="11"/>
        <v>146</v>
      </c>
      <c r="H133">
        <f t="shared" si="2"/>
        <v>-165</v>
      </c>
      <c r="I133">
        <f t="shared" si="3"/>
        <v>-106</v>
      </c>
      <c r="J133">
        <f t="shared" si="4"/>
        <v>24</v>
      </c>
      <c r="K133">
        <v>0</v>
      </c>
      <c r="L133">
        <f t="shared" si="5"/>
        <v>27</v>
      </c>
      <c r="M133">
        <f t="shared" si="6"/>
        <v>76</v>
      </c>
      <c r="N133">
        <f t="shared" si="7"/>
        <v>123</v>
      </c>
    </row>
    <row r="134" spans="1:14" ht="12.75">
      <c r="A134" s="2">
        <v>38061.041666666664</v>
      </c>
      <c r="B134">
        <f t="shared" si="8"/>
        <v>104</v>
      </c>
      <c r="C134">
        <f t="shared" si="9"/>
        <v>59</v>
      </c>
      <c r="D134">
        <f t="shared" si="12"/>
        <v>130</v>
      </c>
      <c r="E134">
        <f t="shared" si="13"/>
        <v>49</v>
      </c>
      <c r="F134">
        <f t="shared" si="10"/>
        <v>47</v>
      </c>
      <c r="G134">
        <f t="shared" si="11"/>
        <v>146</v>
      </c>
      <c r="H134">
        <f t="shared" si="2"/>
        <v>-165</v>
      </c>
      <c r="I134">
        <f t="shared" si="3"/>
        <v>-106</v>
      </c>
      <c r="J134">
        <f t="shared" si="4"/>
        <v>24</v>
      </c>
      <c r="K134">
        <v>0</v>
      </c>
      <c r="L134">
        <f t="shared" si="5"/>
        <v>27</v>
      </c>
      <c r="M134">
        <f t="shared" si="6"/>
        <v>76</v>
      </c>
      <c r="N134">
        <f t="shared" si="7"/>
        <v>123</v>
      </c>
    </row>
    <row r="135" spans="1:14" ht="12.75">
      <c r="A135" s="2">
        <v>38062.25625</v>
      </c>
      <c r="B135">
        <f t="shared" si="8"/>
        <v>104</v>
      </c>
      <c r="C135">
        <f t="shared" si="9"/>
        <v>59</v>
      </c>
      <c r="D135">
        <f t="shared" si="12"/>
        <v>130</v>
      </c>
      <c r="E135">
        <f t="shared" si="13"/>
        <v>49</v>
      </c>
      <c r="F135">
        <f t="shared" si="10"/>
        <v>47</v>
      </c>
      <c r="G135">
        <f t="shared" si="11"/>
        <v>146</v>
      </c>
      <c r="H135">
        <f aca="true" t="shared" si="14" ref="H135:H140">B135-269</f>
        <v>-165</v>
      </c>
      <c r="I135">
        <f aca="true" t="shared" si="15" ref="I135:I140">B135+C135-269</f>
        <v>-106</v>
      </c>
      <c r="J135">
        <f aca="true" t="shared" si="16" ref="J135:J140">B135+C135+D135-269</f>
        <v>24</v>
      </c>
      <c r="K135">
        <v>0</v>
      </c>
      <c r="L135">
        <f aca="true" t="shared" si="17" ref="L135:L140">269-G135-F135-E135</f>
        <v>27</v>
      </c>
      <c r="M135">
        <f aca="true" t="shared" si="18" ref="M135:M140">269-G135-F135</f>
        <v>76</v>
      </c>
      <c r="N135">
        <f aca="true" t="shared" si="19" ref="N135:N140">269-G135</f>
        <v>123</v>
      </c>
    </row>
    <row r="136" spans="1:14" ht="12.75">
      <c r="A136" s="2">
        <v>38063.31805555556</v>
      </c>
      <c r="B136">
        <f t="shared" si="8"/>
        <v>104</v>
      </c>
      <c r="C136">
        <f t="shared" si="9"/>
        <v>59</v>
      </c>
      <c r="D136">
        <f t="shared" si="12"/>
        <v>130</v>
      </c>
      <c r="E136">
        <f t="shared" si="13"/>
        <v>49</v>
      </c>
      <c r="F136">
        <f t="shared" si="10"/>
        <v>47</v>
      </c>
      <c r="G136">
        <f t="shared" si="11"/>
        <v>146</v>
      </c>
      <c r="H136">
        <f t="shared" si="14"/>
        <v>-165</v>
      </c>
      <c r="I136">
        <f t="shared" si="15"/>
        <v>-106</v>
      </c>
      <c r="J136">
        <f t="shared" si="16"/>
        <v>24</v>
      </c>
      <c r="K136">
        <v>0</v>
      </c>
      <c r="L136">
        <f t="shared" si="17"/>
        <v>27</v>
      </c>
      <c r="M136">
        <f t="shared" si="18"/>
        <v>76</v>
      </c>
      <c r="N136">
        <f t="shared" si="19"/>
        <v>123</v>
      </c>
    </row>
    <row r="137" spans="1:14" ht="12.75">
      <c r="A137" s="2">
        <v>38064.69930555556</v>
      </c>
      <c r="B137">
        <f t="shared" si="8"/>
        <v>104</v>
      </c>
      <c r="C137">
        <f t="shared" si="9"/>
        <v>59</v>
      </c>
      <c r="D137">
        <f t="shared" si="12"/>
        <v>130</v>
      </c>
      <c r="E137">
        <f t="shared" si="13"/>
        <v>49</v>
      </c>
      <c r="F137">
        <f t="shared" si="10"/>
        <v>47</v>
      </c>
      <c r="G137">
        <f t="shared" si="11"/>
        <v>146</v>
      </c>
      <c r="H137">
        <f t="shared" si="14"/>
        <v>-165</v>
      </c>
      <c r="I137">
        <f t="shared" si="15"/>
        <v>-106</v>
      </c>
      <c r="J137">
        <f t="shared" si="16"/>
        <v>24</v>
      </c>
      <c r="K137">
        <v>0</v>
      </c>
      <c r="L137">
        <f t="shared" si="17"/>
        <v>27</v>
      </c>
      <c r="M137">
        <f t="shared" si="18"/>
        <v>76</v>
      </c>
      <c r="N137">
        <f t="shared" si="19"/>
        <v>123</v>
      </c>
    </row>
    <row r="138" spans="1:14" ht="12.75">
      <c r="A138" s="2">
        <v>38065.30347222222</v>
      </c>
      <c r="B138">
        <f t="shared" si="8"/>
        <v>104</v>
      </c>
      <c r="C138">
        <f t="shared" si="9"/>
        <v>59</v>
      </c>
      <c r="D138">
        <f t="shared" si="12"/>
        <v>130</v>
      </c>
      <c r="E138">
        <f t="shared" si="13"/>
        <v>49</v>
      </c>
      <c r="F138">
        <f t="shared" si="10"/>
        <v>47</v>
      </c>
      <c r="G138">
        <f t="shared" si="11"/>
        <v>146</v>
      </c>
      <c r="H138">
        <f t="shared" si="14"/>
        <v>-165</v>
      </c>
      <c r="I138">
        <f t="shared" si="15"/>
        <v>-106</v>
      </c>
      <c r="J138">
        <f t="shared" si="16"/>
        <v>24</v>
      </c>
      <c r="K138">
        <v>0</v>
      </c>
      <c r="L138">
        <f t="shared" si="17"/>
        <v>27</v>
      </c>
      <c r="M138">
        <f t="shared" si="18"/>
        <v>76</v>
      </c>
      <c r="N138">
        <f t="shared" si="19"/>
        <v>123</v>
      </c>
    </row>
    <row r="139" spans="1:14" ht="12.75">
      <c r="A139" s="2">
        <v>38066.29513888889</v>
      </c>
      <c r="B139">
        <f t="shared" si="8"/>
        <v>104</v>
      </c>
      <c r="C139">
        <f t="shared" si="9"/>
        <v>59</v>
      </c>
      <c r="D139">
        <f t="shared" si="12"/>
        <v>130</v>
      </c>
      <c r="E139">
        <f t="shared" si="13"/>
        <v>49</v>
      </c>
      <c r="F139">
        <f t="shared" si="10"/>
        <v>47</v>
      </c>
      <c r="G139">
        <f t="shared" si="11"/>
        <v>146</v>
      </c>
      <c r="H139">
        <f t="shared" si="14"/>
        <v>-165</v>
      </c>
      <c r="I139">
        <f t="shared" si="15"/>
        <v>-106</v>
      </c>
      <c r="J139">
        <f t="shared" si="16"/>
        <v>24</v>
      </c>
      <c r="K139">
        <v>0</v>
      </c>
      <c r="L139">
        <f t="shared" si="17"/>
        <v>27</v>
      </c>
      <c r="M139">
        <f t="shared" si="18"/>
        <v>76</v>
      </c>
      <c r="N139">
        <f t="shared" si="19"/>
        <v>123</v>
      </c>
    </row>
    <row r="140" spans="1:14" ht="12.75">
      <c r="A140" s="2">
        <v>38067.75069444445</v>
      </c>
      <c r="B140">
        <f t="shared" si="8"/>
        <v>104</v>
      </c>
      <c r="C140">
        <f t="shared" si="9"/>
        <v>59</v>
      </c>
      <c r="D140">
        <f aca="true" t="shared" si="20" ref="D140:D146">11+5+5+20+21+8+3+34+13</f>
        <v>120</v>
      </c>
      <c r="E140">
        <f t="shared" si="13"/>
        <v>49</v>
      </c>
      <c r="F140">
        <f>11+7+9+3+12+5+10</f>
        <v>57</v>
      </c>
      <c r="G140">
        <f t="shared" si="11"/>
        <v>146</v>
      </c>
      <c r="H140">
        <f t="shared" si="14"/>
        <v>-165</v>
      </c>
      <c r="I140">
        <f t="shared" si="15"/>
        <v>-106</v>
      </c>
      <c r="J140">
        <f t="shared" si="16"/>
        <v>14</v>
      </c>
      <c r="K140">
        <v>0</v>
      </c>
      <c r="L140">
        <f t="shared" si="17"/>
        <v>17</v>
      </c>
      <c r="M140">
        <f t="shared" si="18"/>
        <v>66</v>
      </c>
      <c r="N140">
        <f t="shared" si="19"/>
        <v>123</v>
      </c>
    </row>
    <row r="141" spans="1:14" ht="12.75">
      <c r="A141" s="2">
        <v>38068.97708333333</v>
      </c>
      <c r="B141">
        <f t="shared" si="8"/>
        <v>104</v>
      </c>
      <c r="C141">
        <f t="shared" si="9"/>
        <v>59</v>
      </c>
      <c r="D141">
        <f t="shared" si="20"/>
        <v>120</v>
      </c>
      <c r="E141">
        <f t="shared" si="13"/>
        <v>49</v>
      </c>
      <c r="F141">
        <f>11+7+9+3+12+5+10</f>
        <v>57</v>
      </c>
      <c r="G141">
        <f t="shared" si="11"/>
        <v>146</v>
      </c>
      <c r="H141">
        <f aca="true" t="shared" si="21" ref="H141:H146">B141-269</f>
        <v>-165</v>
      </c>
      <c r="I141">
        <f aca="true" t="shared" si="22" ref="I141:I146">B141+C141-269</f>
        <v>-106</v>
      </c>
      <c r="J141">
        <f aca="true" t="shared" si="23" ref="J141:J146">B141+C141+D141-269</f>
        <v>14</v>
      </c>
      <c r="K141">
        <v>0</v>
      </c>
      <c r="L141">
        <f aca="true" t="shared" si="24" ref="L141:L146">269-G141-F141-E141</f>
        <v>17</v>
      </c>
      <c r="M141">
        <f aca="true" t="shared" si="25" ref="M141:M146">269-G141-F141</f>
        <v>66</v>
      </c>
      <c r="N141">
        <f aca="true" t="shared" si="26" ref="N141:N146">269-G141</f>
        <v>123</v>
      </c>
    </row>
    <row r="142" spans="1:14" ht="12.75">
      <c r="A142" s="2">
        <v>38069.3125</v>
      </c>
      <c r="B142">
        <f t="shared" si="8"/>
        <v>104</v>
      </c>
      <c r="C142">
        <f t="shared" si="9"/>
        <v>59</v>
      </c>
      <c r="D142">
        <f t="shared" si="20"/>
        <v>120</v>
      </c>
      <c r="E142">
        <f t="shared" si="13"/>
        <v>49</v>
      </c>
      <c r="F142">
        <f>11+7+9+3+12+5+10</f>
        <v>57</v>
      </c>
      <c r="G142">
        <f t="shared" si="11"/>
        <v>146</v>
      </c>
      <c r="H142">
        <f t="shared" si="21"/>
        <v>-165</v>
      </c>
      <c r="I142">
        <f t="shared" si="22"/>
        <v>-106</v>
      </c>
      <c r="J142">
        <f t="shared" si="23"/>
        <v>14</v>
      </c>
      <c r="K142">
        <v>0</v>
      </c>
      <c r="L142">
        <f t="shared" si="24"/>
        <v>17</v>
      </c>
      <c r="M142">
        <f t="shared" si="25"/>
        <v>66</v>
      </c>
      <c r="N142">
        <f t="shared" si="26"/>
        <v>123</v>
      </c>
    </row>
    <row r="143" spans="1:14" ht="12.75">
      <c r="A143" s="2">
        <v>38070.35833333333</v>
      </c>
      <c r="B143">
        <f t="shared" si="8"/>
        <v>104</v>
      </c>
      <c r="C143">
        <f t="shared" si="9"/>
        <v>59</v>
      </c>
      <c r="D143">
        <f t="shared" si="20"/>
        <v>120</v>
      </c>
      <c r="E143">
        <f>17+4+15+3+10+5</f>
        <v>54</v>
      </c>
      <c r="F143">
        <f>11+7+9+3+12+10</f>
        <v>52</v>
      </c>
      <c r="G143">
        <f t="shared" si="11"/>
        <v>146</v>
      </c>
      <c r="H143">
        <f t="shared" si="21"/>
        <v>-165</v>
      </c>
      <c r="I143">
        <f t="shared" si="22"/>
        <v>-106</v>
      </c>
      <c r="J143">
        <f t="shared" si="23"/>
        <v>14</v>
      </c>
      <c r="K143">
        <v>0</v>
      </c>
      <c r="L143">
        <f t="shared" si="24"/>
        <v>17</v>
      </c>
      <c r="M143">
        <f t="shared" si="25"/>
        <v>71</v>
      </c>
      <c r="N143">
        <f t="shared" si="26"/>
        <v>123</v>
      </c>
    </row>
    <row r="144" spans="1:14" ht="12.75">
      <c r="A144" s="2">
        <v>38071.34444444445</v>
      </c>
      <c r="B144">
        <f t="shared" si="8"/>
        <v>104</v>
      </c>
      <c r="C144">
        <f t="shared" si="9"/>
        <v>59</v>
      </c>
      <c r="D144">
        <f t="shared" si="20"/>
        <v>120</v>
      </c>
      <c r="E144">
        <f aca="true" t="shared" si="27" ref="E144:E149">17+4+15+3+5</f>
        <v>44</v>
      </c>
      <c r="F144">
        <f aca="true" t="shared" si="28" ref="F144:F149">11+7+9+3+12+10+10</f>
        <v>62</v>
      </c>
      <c r="G144">
        <f t="shared" si="11"/>
        <v>146</v>
      </c>
      <c r="H144">
        <f t="shared" si="21"/>
        <v>-165</v>
      </c>
      <c r="I144">
        <f t="shared" si="22"/>
        <v>-106</v>
      </c>
      <c r="J144">
        <f t="shared" si="23"/>
        <v>14</v>
      </c>
      <c r="K144">
        <v>0</v>
      </c>
      <c r="L144">
        <f t="shared" si="24"/>
        <v>17</v>
      </c>
      <c r="M144">
        <f t="shared" si="25"/>
        <v>61</v>
      </c>
      <c r="N144">
        <f t="shared" si="26"/>
        <v>123</v>
      </c>
    </row>
    <row r="145" spans="1:14" ht="12.75">
      <c r="A145" s="2">
        <v>38072.30347222222</v>
      </c>
      <c r="B145">
        <f t="shared" si="8"/>
        <v>104</v>
      </c>
      <c r="C145">
        <f t="shared" si="9"/>
        <v>59</v>
      </c>
      <c r="D145">
        <f t="shared" si="20"/>
        <v>120</v>
      </c>
      <c r="E145">
        <f t="shared" si="27"/>
        <v>44</v>
      </c>
      <c r="F145">
        <f t="shared" si="28"/>
        <v>62</v>
      </c>
      <c r="G145">
        <f t="shared" si="11"/>
        <v>146</v>
      </c>
      <c r="H145">
        <f t="shared" si="21"/>
        <v>-165</v>
      </c>
      <c r="I145">
        <f t="shared" si="22"/>
        <v>-106</v>
      </c>
      <c r="J145">
        <f t="shared" si="23"/>
        <v>14</v>
      </c>
      <c r="K145">
        <v>0</v>
      </c>
      <c r="L145">
        <f t="shared" si="24"/>
        <v>17</v>
      </c>
      <c r="M145">
        <f t="shared" si="25"/>
        <v>61</v>
      </c>
      <c r="N145">
        <f t="shared" si="26"/>
        <v>123</v>
      </c>
    </row>
    <row r="146" spans="1:14" ht="12.75">
      <c r="A146" s="2">
        <v>38073.23819444444</v>
      </c>
      <c r="B146">
        <f t="shared" si="8"/>
        <v>104</v>
      </c>
      <c r="C146">
        <f t="shared" si="9"/>
        <v>59</v>
      </c>
      <c r="D146">
        <f t="shared" si="20"/>
        <v>120</v>
      </c>
      <c r="E146">
        <f t="shared" si="27"/>
        <v>44</v>
      </c>
      <c r="F146">
        <f t="shared" si="28"/>
        <v>62</v>
      </c>
      <c r="G146">
        <f t="shared" si="11"/>
        <v>146</v>
      </c>
      <c r="H146">
        <f t="shared" si="21"/>
        <v>-165</v>
      </c>
      <c r="I146">
        <f t="shared" si="22"/>
        <v>-106</v>
      </c>
      <c r="J146">
        <f t="shared" si="23"/>
        <v>14</v>
      </c>
      <c r="K146">
        <v>0</v>
      </c>
      <c r="L146">
        <f t="shared" si="24"/>
        <v>17</v>
      </c>
      <c r="M146">
        <f t="shared" si="25"/>
        <v>61</v>
      </c>
      <c r="N146">
        <f t="shared" si="26"/>
        <v>123</v>
      </c>
    </row>
    <row r="147" spans="1:14" ht="12.75">
      <c r="A147" s="2">
        <v>38074.927083333336</v>
      </c>
      <c r="B147">
        <f t="shared" si="8"/>
        <v>104</v>
      </c>
      <c r="C147">
        <f aca="true" t="shared" si="29" ref="C147:C159">15+11+3+27+3+13</f>
        <v>72</v>
      </c>
      <c r="D147">
        <f aca="true" t="shared" si="30" ref="D147:D159">11+5+5+20+21+8+3+34</f>
        <v>107</v>
      </c>
      <c r="E147">
        <f t="shared" si="27"/>
        <v>44</v>
      </c>
      <c r="F147">
        <f t="shared" si="28"/>
        <v>62</v>
      </c>
      <c r="G147">
        <f t="shared" si="11"/>
        <v>146</v>
      </c>
      <c r="H147">
        <f aca="true" t="shared" si="31" ref="H147:H153">B147-269</f>
        <v>-165</v>
      </c>
      <c r="I147">
        <f aca="true" t="shared" si="32" ref="I147:I153">B147+C147-269</f>
        <v>-93</v>
      </c>
      <c r="J147">
        <f aca="true" t="shared" si="33" ref="J147:J153">B147+C147+D147-269</f>
        <v>14</v>
      </c>
      <c r="K147">
        <v>0</v>
      </c>
      <c r="L147">
        <f aca="true" t="shared" si="34" ref="L147:L153">269-G147-F147-E147</f>
        <v>17</v>
      </c>
      <c r="M147">
        <f aca="true" t="shared" si="35" ref="M147:M153">269-G147-F147</f>
        <v>61</v>
      </c>
      <c r="N147">
        <f aca="true" t="shared" si="36" ref="N147:N153">269-G147</f>
        <v>123</v>
      </c>
    </row>
    <row r="148" spans="1:14" ht="12.75">
      <c r="A148" s="2">
        <v>38075.16527777778</v>
      </c>
      <c r="B148">
        <f t="shared" si="8"/>
        <v>104</v>
      </c>
      <c r="C148">
        <f t="shared" si="29"/>
        <v>72</v>
      </c>
      <c r="D148">
        <f t="shared" si="30"/>
        <v>107</v>
      </c>
      <c r="E148">
        <f t="shared" si="27"/>
        <v>44</v>
      </c>
      <c r="F148">
        <f t="shared" si="28"/>
        <v>62</v>
      </c>
      <c r="G148">
        <f t="shared" si="11"/>
        <v>146</v>
      </c>
      <c r="H148">
        <f t="shared" si="31"/>
        <v>-165</v>
      </c>
      <c r="I148">
        <f t="shared" si="32"/>
        <v>-93</v>
      </c>
      <c r="J148">
        <f t="shared" si="33"/>
        <v>14</v>
      </c>
      <c r="K148">
        <v>0</v>
      </c>
      <c r="L148">
        <f t="shared" si="34"/>
        <v>17</v>
      </c>
      <c r="M148">
        <f t="shared" si="35"/>
        <v>61</v>
      </c>
      <c r="N148">
        <f t="shared" si="36"/>
        <v>123</v>
      </c>
    </row>
    <row r="149" spans="1:14" ht="12.75">
      <c r="A149" s="2">
        <v>38076.79375</v>
      </c>
      <c r="B149">
        <f t="shared" si="8"/>
        <v>104</v>
      </c>
      <c r="C149">
        <f t="shared" si="29"/>
        <v>72</v>
      </c>
      <c r="D149">
        <f t="shared" si="30"/>
        <v>107</v>
      </c>
      <c r="E149">
        <f t="shared" si="27"/>
        <v>44</v>
      </c>
      <c r="F149">
        <f t="shared" si="28"/>
        <v>62</v>
      </c>
      <c r="G149">
        <f t="shared" si="11"/>
        <v>146</v>
      </c>
      <c r="H149">
        <f t="shared" si="31"/>
        <v>-165</v>
      </c>
      <c r="I149">
        <f t="shared" si="32"/>
        <v>-93</v>
      </c>
      <c r="J149">
        <f t="shared" si="33"/>
        <v>14</v>
      </c>
      <c r="K149">
        <v>0</v>
      </c>
      <c r="L149">
        <f t="shared" si="34"/>
        <v>17</v>
      </c>
      <c r="M149">
        <f t="shared" si="35"/>
        <v>61</v>
      </c>
      <c r="N149">
        <f t="shared" si="36"/>
        <v>123</v>
      </c>
    </row>
    <row r="150" spans="1:14" ht="12.75">
      <c r="A150" s="2">
        <v>38077.28611111111</v>
      </c>
      <c r="B150">
        <f t="shared" si="8"/>
        <v>104</v>
      </c>
      <c r="C150">
        <f t="shared" si="29"/>
        <v>72</v>
      </c>
      <c r="D150">
        <f t="shared" si="30"/>
        <v>107</v>
      </c>
      <c r="E150">
        <f aca="true" t="shared" si="37" ref="E150:E163">17+4+15+3+5+10</f>
        <v>54</v>
      </c>
      <c r="F150">
        <f aca="true" t="shared" si="38" ref="F150:F155">11+7+9+3+12+10</f>
        <v>52</v>
      </c>
      <c r="G150">
        <f t="shared" si="11"/>
        <v>146</v>
      </c>
      <c r="H150">
        <f t="shared" si="31"/>
        <v>-165</v>
      </c>
      <c r="I150">
        <f t="shared" si="32"/>
        <v>-93</v>
      </c>
      <c r="J150">
        <f t="shared" si="33"/>
        <v>14</v>
      </c>
      <c r="K150">
        <v>0</v>
      </c>
      <c r="L150">
        <f t="shared" si="34"/>
        <v>17</v>
      </c>
      <c r="M150">
        <f t="shared" si="35"/>
        <v>71</v>
      </c>
      <c r="N150">
        <f t="shared" si="36"/>
        <v>123</v>
      </c>
    </row>
    <row r="151" spans="1:14" ht="12.75">
      <c r="A151" s="2">
        <v>38078.365277777775</v>
      </c>
      <c r="B151">
        <f t="shared" si="8"/>
        <v>104</v>
      </c>
      <c r="C151">
        <f t="shared" si="29"/>
        <v>72</v>
      </c>
      <c r="D151">
        <f t="shared" si="30"/>
        <v>107</v>
      </c>
      <c r="E151">
        <f t="shared" si="37"/>
        <v>54</v>
      </c>
      <c r="F151">
        <f t="shared" si="38"/>
        <v>52</v>
      </c>
      <c r="G151">
        <f t="shared" si="11"/>
        <v>146</v>
      </c>
      <c r="H151">
        <f t="shared" si="31"/>
        <v>-165</v>
      </c>
      <c r="I151">
        <f t="shared" si="32"/>
        <v>-93</v>
      </c>
      <c r="J151">
        <f t="shared" si="33"/>
        <v>14</v>
      </c>
      <c r="K151">
        <v>0</v>
      </c>
      <c r="L151">
        <f t="shared" si="34"/>
        <v>17</v>
      </c>
      <c r="M151">
        <f t="shared" si="35"/>
        <v>71</v>
      </c>
      <c r="N151">
        <f t="shared" si="36"/>
        <v>123</v>
      </c>
    </row>
    <row r="152" spans="1:14" ht="12.75">
      <c r="A152" s="2">
        <v>38079.70208333333</v>
      </c>
      <c r="B152">
        <f t="shared" si="8"/>
        <v>104</v>
      </c>
      <c r="C152">
        <f t="shared" si="29"/>
        <v>72</v>
      </c>
      <c r="D152">
        <f t="shared" si="30"/>
        <v>107</v>
      </c>
      <c r="E152">
        <f t="shared" si="37"/>
        <v>54</v>
      </c>
      <c r="F152">
        <f t="shared" si="38"/>
        <v>52</v>
      </c>
      <c r="G152">
        <f t="shared" si="11"/>
        <v>146</v>
      </c>
      <c r="H152">
        <f t="shared" si="31"/>
        <v>-165</v>
      </c>
      <c r="I152">
        <f t="shared" si="32"/>
        <v>-93</v>
      </c>
      <c r="J152">
        <f t="shared" si="33"/>
        <v>14</v>
      </c>
      <c r="K152">
        <v>0</v>
      </c>
      <c r="L152">
        <f t="shared" si="34"/>
        <v>17</v>
      </c>
      <c r="M152">
        <f t="shared" si="35"/>
        <v>71</v>
      </c>
      <c r="N152">
        <f t="shared" si="36"/>
        <v>123</v>
      </c>
    </row>
    <row r="153" spans="1:14" ht="12.75">
      <c r="A153" s="2">
        <v>38080.11111111111</v>
      </c>
      <c r="B153">
        <f t="shared" si="8"/>
        <v>104</v>
      </c>
      <c r="C153">
        <f t="shared" si="29"/>
        <v>72</v>
      </c>
      <c r="D153">
        <f t="shared" si="30"/>
        <v>107</v>
      </c>
      <c r="E153">
        <f t="shared" si="37"/>
        <v>54</v>
      </c>
      <c r="F153">
        <f t="shared" si="38"/>
        <v>52</v>
      </c>
      <c r="G153">
        <f t="shared" si="11"/>
        <v>146</v>
      </c>
      <c r="H153">
        <f t="shared" si="31"/>
        <v>-165</v>
      </c>
      <c r="I153">
        <f t="shared" si="32"/>
        <v>-93</v>
      </c>
      <c r="J153">
        <f t="shared" si="33"/>
        <v>14</v>
      </c>
      <c r="K153">
        <v>0</v>
      </c>
      <c r="L153">
        <f t="shared" si="34"/>
        <v>17</v>
      </c>
      <c r="M153">
        <f t="shared" si="35"/>
        <v>71</v>
      </c>
      <c r="N153">
        <f t="shared" si="36"/>
        <v>123</v>
      </c>
    </row>
    <row r="154" spans="1:14" ht="12.75">
      <c r="A154" s="2">
        <v>38081.200694444444</v>
      </c>
      <c r="B154">
        <f t="shared" si="8"/>
        <v>104</v>
      </c>
      <c r="C154">
        <f t="shared" si="29"/>
        <v>72</v>
      </c>
      <c r="D154">
        <f t="shared" si="30"/>
        <v>107</v>
      </c>
      <c r="E154">
        <f t="shared" si="37"/>
        <v>54</v>
      </c>
      <c r="F154">
        <f t="shared" si="38"/>
        <v>52</v>
      </c>
      <c r="G154">
        <f t="shared" si="11"/>
        <v>146</v>
      </c>
      <c r="H154">
        <f aca="true" t="shared" si="39" ref="H154:H159">B154-269</f>
        <v>-165</v>
      </c>
      <c r="I154">
        <f aca="true" t="shared" si="40" ref="I154:I159">B154+C154-269</f>
        <v>-93</v>
      </c>
      <c r="J154">
        <f aca="true" t="shared" si="41" ref="J154:J159">B154+C154+D154-269</f>
        <v>14</v>
      </c>
      <c r="K154">
        <v>0</v>
      </c>
      <c r="L154">
        <f aca="true" t="shared" si="42" ref="L154:L159">269-G154-F154-E154</f>
        <v>17</v>
      </c>
      <c r="M154">
        <f aca="true" t="shared" si="43" ref="M154:M159">269-G154-F154</f>
        <v>71</v>
      </c>
      <c r="N154">
        <f aca="true" t="shared" si="44" ref="N154:N159">269-G154</f>
        <v>123</v>
      </c>
    </row>
    <row r="155" spans="1:14" ht="12.75">
      <c r="A155" s="2">
        <v>38082.92638888889</v>
      </c>
      <c r="B155">
        <f t="shared" si="8"/>
        <v>104</v>
      </c>
      <c r="C155">
        <f t="shared" si="29"/>
        <v>72</v>
      </c>
      <c r="D155">
        <f t="shared" si="30"/>
        <v>107</v>
      </c>
      <c r="E155">
        <f t="shared" si="37"/>
        <v>54</v>
      </c>
      <c r="F155">
        <f t="shared" si="38"/>
        <v>52</v>
      </c>
      <c r="G155">
        <f t="shared" si="11"/>
        <v>146</v>
      </c>
      <c r="H155">
        <f t="shared" si="39"/>
        <v>-165</v>
      </c>
      <c r="I155">
        <f t="shared" si="40"/>
        <v>-93</v>
      </c>
      <c r="J155">
        <f t="shared" si="41"/>
        <v>14</v>
      </c>
      <c r="K155">
        <v>0</v>
      </c>
      <c r="L155">
        <f t="shared" si="42"/>
        <v>17</v>
      </c>
      <c r="M155">
        <f t="shared" si="43"/>
        <v>71</v>
      </c>
      <c r="N155">
        <f t="shared" si="44"/>
        <v>123</v>
      </c>
    </row>
    <row r="156" spans="1:14" ht="12.75">
      <c r="A156" s="2">
        <v>38083.67986111111</v>
      </c>
      <c r="B156">
        <f t="shared" si="8"/>
        <v>104</v>
      </c>
      <c r="C156">
        <f t="shared" si="29"/>
        <v>72</v>
      </c>
      <c r="D156">
        <f t="shared" si="30"/>
        <v>107</v>
      </c>
      <c r="E156">
        <f t="shared" si="37"/>
        <v>54</v>
      </c>
      <c r="F156">
        <f>11+7+9+3+12+10+7</f>
        <v>59</v>
      </c>
      <c r="G156">
        <f>55+7+4+31+4+21+4+10+3</f>
        <v>139</v>
      </c>
      <c r="H156">
        <f t="shared" si="39"/>
        <v>-165</v>
      </c>
      <c r="I156">
        <f t="shared" si="40"/>
        <v>-93</v>
      </c>
      <c r="J156">
        <f t="shared" si="41"/>
        <v>14</v>
      </c>
      <c r="K156">
        <v>0</v>
      </c>
      <c r="L156">
        <f t="shared" si="42"/>
        <v>17</v>
      </c>
      <c r="M156">
        <f t="shared" si="43"/>
        <v>71</v>
      </c>
      <c r="N156">
        <f t="shared" si="44"/>
        <v>130</v>
      </c>
    </row>
    <row r="157" spans="1:14" ht="12.75">
      <c r="A157" s="2">
        <v>38084.67361111111</v>
      </c>
      <c r="B157">
        <f t="shared" si="8"/>
        <v>104</v>
      </c>
      <c r="C157">
        <f t="shared" si="29"/>
        <v>72</v>
      </c>
      <c r="D157">
        <f t="shared" si="30"/>
        <v>107</v>
      </c>
      <c r="E157">
        <f t="shared" si="37"/>
        <v>54</v>
      </c>
      <c r="F157">
        <f>11+7+9+3+12+10+7</f>
        <v>59</v>
      </c>
      <c r="G157">
        <f>55+7+4+31+4+21+4+10+3</f>
        <v>139</v>
      </c>
      <c r="H157">
        <f t="shared" si="39"/>
        <v>-165</v>
      </c>
      <c r="I157">
        <f t="shared" si="40"/>
        <v>-93</v>
      </c>
      <c r="J157">
        <f t="shared" si="41"/>
        <v>14</v>
      </c>
      <c r="K157">
        <v>0</v>
      </c>
      <c r="L157">
        <f t="shared" si="42"/>
        <v>17</v>
      </c>
      <c r="M157">
        <f t="shared" si="43"/>
        <v>71</v>
      </c>
      <c r="N157">
        <f t="shared" si="44"/>
        <v>130</v>
      </c>
    </row>
    <row r="158" spans="1:14" ht="12.75">
      <c r="A158" s="2">
        <v>38085.646527777775</v>
      </c>
      <c r="B158">
        <f t="shared" si="8"/>
        <v>104</v>
      </c>
      <c r="C158">
        <f t="shared" si="29"/>
        <v>72</v>
      </c>
      <c r="D158">
        <f t="shared" si="30"/>
        <v>107</v>
      </c>
      <c r="E158">
        <f t="shared" si="37"/>
        <v>54</v>
      </c>
      <c r="F158">
        <f>11+7+9+3+12+10+7</f>
        <v>59</v>
      </c>
      <c r="G158">
        <f>55+7+4+31+4+21+4+10+3</f>
        <v>139</v>
      </c>
      <c r="H158">
        <f t="shared" si="39"/>
        <v>-165</v>
      </c>
      <c r="I158">
        <f t="shared" si="40"/>
        <v>-93</v>
      </c>
      <c r="J158">
        <f t="shared" si="41"/>
        <v>14</v>
      </c>
      <c r="K158">
        <v>0</v>
      </c>
      <c r="L158">
        <f t="shared" si="42"/>
        <v>17</v>
      </c>
      <c r="M158">
        <f t="shared" si="43"/>
        <v>71</v>
      </c>
      <c r="N158">
        <f t="shared" si="44"/>
        <v>130</v>
      </c>
    </row>
    <row r="159" spans="1:14" ht="12.75">
      <c r="A159" s="2">
        <v>38086.68680555555</v>
      </c>
      <c r="B159">
        <f t="shared" si="8"/>
        <v>104</v>
      </c>
      <c r="C159">
        <f t="shared" si="29"/>
        <v>72</v>
      </c>
      <c r="D159">
        <f t="shared" si="30"/>
        <v>107</v>
      </c>
      <c r="E159">
        <f t="shared" si="37"/>
        <v>54</v>
      </c>
      <c r="F159">
        <f>11+7+9+3+12+10+7+31</f>
        <v>90</v>
      </c>
      <c r="G159">
        <f aca="true" t="shared" si="45" ref="G159:G205">55+7+4+4+21+4+10+3</f>
        <v>108</v>
      </c>
      <c r="H159">
        <f t="shared" si="39"/>
        <v>-165</v>
      </c>
      <c r="I159">
        <f t="shared" si="40"/>
        <v>-93</v>
      </c>
      <c r="J159">
        <f t="shared" si="41"/>
        <v>14</v>
      </c>
      <c r="K159">
        <v>0</v>
      </c>
      <c r="L159">
        <f t="shared" si="42"/>
        <v>17</v>
      </c>
      <c r="M159">
        <f t="shared" si="43"/>
        <v>71</v>
      </c>
      <c r="N159">
        <f t="shared" si="44"/>
        <v>161</v>
      </c>
    </row>
    <row r="160" spans="1:14" ht="12.75">
      <c r="A160" s="2">
        <v>38087.60763888889</v>
      </c>
      <c r="B160">
        <f t="shared" si="8"/>
        <v>104</v>
      </c>
      <c r="C160">
        <f>15+11+3+27+3+13+20</f>
        <v>92</v>
      </c>
      <c r="D160">
        <f>11+5+5+21+8+3+34</f>
        <v>87</v>
      </c>
      <c r="E160">
        <f t="shared" si="37"/>
        <v>54</v>
      </c>
      <c r="F160">
        <f>11+7+9+3+12+10+7+31</f>
        <v>90</v>
      </c>
      <c r="G160">
        <f t="shared" si="45"/>
        <v>108</v>
      </c>
      <c r="H160">
        <f aca="true" t="shared" si="46" ref="H160:H165">B160-269</f>
        <v>-165</v>
      </c>
      <c r="I160">
        <f aca="true" t="shared" si="47" ref="I160:I165">B160+C160-269</f>
        <v>-73</v>
      </c>
      <c r="J160">
        <f aca="true" t="shared" si="48" ref="J160:J165">B160+C160+D160-269</f>
        <v>14</v>
      </c>
      <c r="K160">
        <v>0</v>
      </c>
      <c r="L160">
        <f aca="true" t="shared" si="49" ref="L160:L165">269-G160-F160-E160</f>
        <v>17</v>
      </c>
      <c r="M160">
        <f aca="true" t="shared" si="50" ref="M160:M165">269-G160-F160</f>
        <v>71</v>
      </c>
      <c r="N160">
        <f aca="true" t="shared" si="51" ref="N160:N165">269-G160</f>
        <v>161</v>
      </c>
    </row>
    <row r="161" spans="1:14" ht="12.75">
      <c r="A161" s="2">
        <v>38088.96944444445</v>
      </c>
      <c r="B161">
        <f t="shared" si="8"/>
        <v>104</v>
      </c>
      <c r="C161">
        <f>15+11+3+27+3+13+20</f>
        <v>92</v>
      </c>
      <c r="D161">
        <f>11+5+21+8+3+34</f>
        <v>82</v>
      </c>
      <c r="E161">
        <f t="shared" si="37"/>
        <v>54</v>
      </c>
      <c r="F161">
        <f>11+7+9+3+12+10+7+31+5</f>
        <v>95</v>
      </c>
      <c r="G161">
        <f t="shared" si="45"/>
        <v>108</v>
      </c>
      <c r="H161">
        <f t="shared" si="46"/>
        <v>-165</v>
      </c>
      <c r="I161">
        <f t="shared" si="47"/>
        <v>-73</v>
      </c>
      <c r="J161">
        <f t="shared" si="48"/>
        <v>9</v>
      </c>
      <c r="K161">
        <v>0</v>
      </c>
      <c r="L161">
        <f t="shared" si="49"/>
        <v>12</v>
      </c>
      <c r="M161">
        <f t="shared" si="50"/>
        <v>66</v>
      </c>
      <c r="N161">
        <f t="shared" si="51"/>
        <v>161</v>
      </c>
    </row>
    <row r="162" spans="1:14" ht="12.75">
      <c r="A162" s="2">
        <v>38089.657638888886</v>
      </c>
      <c r="B162">
        <f t="shared" si="8"/>
        <v>104</v>
      </c>
      <c r="C162">
        <f>15+11+3+27+3+13+20</f>
        <v>92</v>
      </c>
      <c r="D162">
        <f>11+5+21+8+3+34</f>
        <v>82</v>
      </c>
      <c r="E162">
        <f t="shared" si="37"/>
        <v>54</v>
      </c>
      <c r="F162">
        <f>11+7+9+3+12+10+7+31+5</f>
        <v>95</v>
      </c>
      <c r="G162">
        <f t="shared" si="45"/>
        <v>108</v>
      </c>
      <c r="H162">
        <f t="shared" si="46"/>
        <v>-165</v>
      </c>
      <c r="I162">
        <f t="shared" si="47"/>
        <v>-73</v>
      </c>
      <c r="J162">
        <f t="shared" si="48"/>
        <v>9</v>
      </c>
      <c r="K162">
        <v>0</v>
      </c>
      <c r="L162">
        <f t="shared" si="49"/>
        <v>12</v>
      </c>
      <c r="M162">
        <f t="shared" si="50"/>
        <v>66</v>
      </c>
      <c r="N162">
        <f t="shared" si="51"/>
        <v>161</v>
      </c>
    </row>
    <row r="163" spans="1:14" ht="12.75">
      <c r="A163" s="2">
        <v>38090.65972222222</v>
      </c>
      <c r="B163">
        <f t="shared" si="8"/>
        <v>104</v>
      </c>
      <c r="C163">
        <f>15+11+3+27+3+13+20</f>
        <v>92</v>
      </c>
      <c r="D163">
        <f>11+5+21+8+3+34</f>
        <v>82</v>
      </c>
      <c r="E163">
        <f t="shared" si="37"/>
        <v>54</v>
      </c>
      <c r="F163">
        <f>11+7+9+3+12+10+7+31+5</f>
        <v>95</v>
      </c>
      <c r="G163">
        <f t="shared" si="45"/>
        <v>108</v>
      </c>
      <c r="H163">
        <f t="shared" si="46"/>
        <v>-165</v>
      </c>
      <c r="I163">
        <f t="shared" si="47"/>
        <v>-73</v>
      </c>
      <c r="J163">
        <f t="shared" si="48"/>
        <v>9</v>
      </c>
      <c r="K163">
        <v>0</v>
      </c>
      <c r="L163">
        <f t="shared" si="49"/>
        <v>12</v>
      </c>
      <c r="M163">
        <f t="shared" si="50"/>
        <v>66</v>
      </c>
      <c r="N163">
        <f t="shared" si="51"/>
        <v>161</v>
      </c>
    </row>
    <row r="164" spans="1:14" ht="12.75">
      <c r="A164" s="2">
        <v>38091.631944444445</v>
      </c>
      <c r="B164">
        <f t="shared" si="8"/>
        <v>104</v>
      </c>
      <c r="C164">
        <f>15+11+3+27+3+13+20</f>
        <v>92</v>
      </c>
      <c r="D164">
        <f>11+5+8+3+34</f>
        <v>61</v>
      </c>
      <c r="E164">
        <f>17+15+3+5+10+21</f>
        <v>71</v>
      </c>
      <c r="F164">
        <f>11+7+9+3+12+10+7+31+5+4</f>
        <v>99</v>
      </c>
      <c r="G164">
        <f t="shared" si="45"/>
        <v>108</v>
      </c>
      <c r="H164">
        <f t="shared" si="46"/>
        <v>-165</v>
      </c>
      <c r="I164">
        <f t="shared" si="47"/>
        <v>-73</v>
      </c>
      <c r="J164">
        <f t="shared" si="48"/>
        <v>-12</v>
      </c>
      <c r="K164">
        <v>0</v>
      </c>
      <c r="L164">
        <f t="shared" si="49"/>
        <v>-9</v>
      </c>
      <c r="M164">
        <f t="shared" si="50"/>
        <v>62</v>
      </c>
      <c r="N164">
        <f t="shared" si="51"/>
        <v>161</v>
      </c>
    </row>
    <row r="165" spans="1:14" ht="12.75">
      <c r="A165" s="2">
        <v>38092.65833333333</v>
      </c>
      <c r="B165">
        <f t="shared" si="8"/>
        <v>104</v>
      </c>
      <c r="C165">
        <f>15+11+3+27+3+13+20+34</f>
        <v>126</v>
      </c>
      <c r="D165">
        <f>11+5+8+3</f>
        <v>27</v>
      </c>
      <c r="E165">
        <f>17+15+3+5+10+21+12</f>
        <v>83</v>
      </c>
      <c r="F165">
        <f>11+7+9+3+10+7+31+5+4</f>
        <v>87</v>
      </c>
      <c r="G165">
        <f t="shared" si="45"/>
        <v>108</v>
      </c>
      <c r="H165">
        <f t="shared" si="46"/>
        <v>-165</v>
      </c>
      <c r="I165">
        <f t="shared" si="47"/>
        <v>-39</v>
      </c>
      <c r="J165">
        <f t="shared" si="48"/>
        <v>-12</v>
      </c>
      <c r="K165">
        <v>0</v>
      </c>
      <c r="L165">
        <f t="shared" si="49"/>
        <v>-9</v>
      </c>
      <c r="M165">
        <f t="shared" si="50"/>
        <v>74</v>
      </c>
      <c r="N165">
        <f t="shared" si="51"/>
        <v>161</v>
      </c>
    </row>
    <row r="166" spans="1:14" ht="12.75">
      <c r="A166" s="2">
        <v>38093.67986111111</v>
      </c>
      <c r="B166">
        <f t="shared" si="8"/>
        <v>104</v>
      </c>
      <c r="C166">
        <f>15+11+3+27+3+13+20+34</f>
        <v>126</v>
      </c>
      <c r="D166">
        <f>11+5+8+3</f>
        <v>27</v>
      </c>
      <c r="E166">
        <f>17+15+3+5+10+21+12+9</f>
        <v>92</v>
      </c>
      <c r="F166">
        <f>11+7+3+10+7+31+5+4</f>
        <v>78</v>
      </c>
      <c r="G166">
        <f t="shared" si="45"/>
        <v>108</v>
      </c>
      <c r="H166">
        <f aca="true" t="shared" si="52" ref="H166:H172">B166-269</f>
        <v>-165</v>
      </c>
      <c r="I166">
        <f aca="true" t="shared" si="53" ref="I166:I172">B166+C166-269</f>
        <v>-39</v>
      </c>
      <c r="J166">
        <f aca="true" t="shared" si="54" ref="J166:J172">B166+C166+D166-269</f>
        <v>-12</v>
      </c>
      <c r="K166">
        <v>0</v>
      </c>
      <c r="L166">
        <f aca="true" t="shared" si="55" ref="L166:L172">269-G166-F166-E166</f>
        <v>-9</v>
      </c>
      <c r="M166">
        <f aca="true" t="shared" si="56" ref="M166:M172">269-G166-F166</f>
        <v>83</v>
      </c>
      <c r="N166">
        <f aca="true" t="shared" si="57" ref="N166:N172">269-G166</f>
        <v>161</v>
      </c>
    </row>
    <row r="167" spans="1:14" ht="12.75">
      <c r="A167" s="2">
        <v>38094.95138888889</v>
      </c>
      <c r="B167">
        <f t="shared" si="8"/>
        <v>104</v>
      </c>
      <c r="C167">
        <f aca="true" t="shared" si="58" ref="C167:C197">15+11+3+27+3+34+11</f>
        <v>104</v>
      </c>
      <c r="D167">
        <f>5+8+3+20+13</f>
        <v>49</v>
      </c>
      <c r="E167">
        <f>17+15+3+5+10+21+12+9+5</f>
        <v>97</v>
      </c>
      <c r="F167">
        <f aca="true" t="shared" si="59" ref="F167:F177">11+7+3+10+7+31+4</f>
        <v>73</v>
      </c>
      <c r="G167">
        <f t="shared" si="45"/>
        <v>108</v>
      </c>
      <c r="H167">
        <f t="shared" si="52"/>
        <v>-165</v>
      </c>
      <c r="I167">
        <f t="shared" si="53"/>
        <v>-61</v>
      </c>
      <c r="J167">
        <f t="shared" si="54"/>
        <v>-12</v>
      </c>
      <c r="K167">
        <v>0</v>
      </c>
      <c r="L167">
        <f t="shared" si="55"/>
        <v>-9</v>
      </c>
      <c r="M167">
        <f t="shared" si="56"/>
        <v>88</v>
      </c>
      <c r="N167">
        <f t="shared" si="57"/>
        <v>161</v>
      </c>
    </row>
    <row r="168" spans="1:14" ht="12.75">
      <c r="A168" s="2">
        <v>38095.84097222222</v>
      </c>
      <c r="B168">
        <f t="shared" si="8"/>
        <v>104</v>
      </c>
      <c r="C168">
        <f t="shared" si="58"/>
        <v>104</v>
      </c>
      <c r="D168">
        <f>5+8+3+20+13</f>
        <v>49</v>
      </c>
      <c r="E168">
        <f>17+15+3+5+10+21+12+9+5</f>
        <v>97</v>
      </c>
      <c r="F168">
        <f t="shared" si="59"/>
        <v>73</v>
      </c>
      <c r="G168">
        <f t="shared" si="45"/>
        <v>108</v>
      </c>
      <c r="H168">
        <f t="shared" si="52"/>
        <v>-165</v>
      </c>
      <c r="I168">
        <f t="shared" si="53"/>
        <v>-61</v>
      </c>
      <c r="J168">
        <f t="shared" si="54"/>
        <v>-12</v>
      </c>
      <c r="K168">
        <v>0</v>
      </c>
      <c r="L168">
        <f t="shared" si="55"/>
        <v>-9</v>
      </c>
      <c r="M168">
        <f t="shared" si="56"/>
        <v>88</v>
      </c>
      <c r="N168">
        <f t="shared" si="57"/>
        <v>161</v>
      </c>
    </row>
    <row r="169" spans="1:14" ht="12.75">
      <c r="A169" s="2">
        <v>38096.74930555555</v>
      </c>
      <c r="B169">
        <f t="shared" si="8"/>
        <v>104</v>
      </c>
      <c r="C169">
        <f t="shared" si="58"/>
        <v>104</v>
      </c>
      <c r="D169">
        <f>5+8+3+20+13</f>
        <v>49</v>
      </c>
      <c r="E169">
        <f>17+15+3+5+10+21+12+9+5</f>
        <v>97</v>
      </c>
      <c r="F169">
        <f t="shared" si="59"/>
        <v>73</v>
      </c>
      <c r="G169">
        <f t="shared" si="45"/>
        <v>108</v>
      </c>
      <c r="H169">
        <f t="shared" si="52"/>
        <v>-165</v>
      </c>
      <c r="I169">
        <f t="shared" si="53"/>
        <v>-61</v>
      </c>
      <c r="J169">
        <f t="shared" si="54"/>
        <v>-12</v>
      </c>
      <c r="K169">
        <v>0</v>
      </c>
      <c r="L169">
        <f t="shared" si="55"/>
        <v>-9</v>
      </c>
      <c r="M169">
        <f t="shared" si="56"/>
        <v>88</v>
      </c>
      <c r="N169">
        <f t="shared" si="57"/>
        <v>161</v>
      </c>
    </row>
    <row r="170" spans="1:14" ht="12.75">
      <c r="A170" s="2">
        <v>38097.30416666667</v>
      </c>
      <c r="B170">
        <f t="shared" si="8"/>
        <v>104</v>
      </c>
      <c r="C170">
        <f t="shared" si="58"/>
        <v>104</v>
      </c>
      <c r="D170">
        <f aca="true" t="shared" si="60" ref="D170:D182">5+8+3+20+13+21</f>
        <v>70</v>
      </c>
      <c r="E170">
        <f aca="true" t="shared" si="61" ref="E170:E177">17+15+3+5+10+12+9+5</f>
        <v>76</v>
      </c>
      <c r="F170">
        <f t="shared" si="59"/>
        <v>73</v>
      </c>
      <c r="G170">
        <f t="shared" si="45"/>
        <v>108</v>
      </c>
      <c r="H170">
        <f t="shared" si="52"/>
        <v>-165</v>
      </c>
      <c r="I170">
        <f t="shared" si="53"/>
        <v>-61</v>
      </c>
      <c r="J170">
        <f t="shared" si="54"/>
        <v>9</v>
      </c>
      <c r="K170">
        <v>0</v>
      </c>
      <c r="L170">
        <f t="shared" si="55"/>
        <v>12</v>
      </c>
      <c r="M170">
        <f t="shared" si="56"/>
        <v>88</v>
      </c>
      <c r="N170">
        <f t="shared" si="57"/>
        <v>161</v>
      </c>
    </row>
    <row r="171" spans="1:14" ht="12.75">
      <c r="A171" s="2">
        <v>38098.3875</v>
      </c>
      <c r="B171">
        <f t="shared" si="8"/>
        <v>104</v>
      </c>
      <c r="C171">
        <f t="shared" si="58"/>
        <v>104</v>
      </c>
      <c r="D171">
        <f t="shared" si="60"/>
        <v>70</v>
      </c>
      <c r="E171">
        <f t="shared" si="61"/>
        <v>76</v>
      </c>
      <c r="F171">
        <f t="shared" si="59"/>
        <v>73</v>
      </c>
      <c r="G171">
        <f t="shared" si="45"/>
        <v>108</v>
      </c>
      <c r="H171">
        <f t="shared" si="52"/>
        <v>-165</v>
      </c>
      <c r="I171">
        <f t="shared" si="53"/>
        <v>-61</v>
      </c>
      <c r="J171">
        <f t="shared" si="54"/>
        <v>9</v>
      </c>
      <c r="K171">
        <v>0</v>
      </c>
      <c r="L171">
        <f t="shared" si="55"/>
        <v>12</v>
      </c>
      <c r="M171">
        <f t="shared" si="56"/>
        <v>88</v>
      </c>
      <c r="N171">
        <f t="shared" si="57"/>
        <v>161</v>
      </c>
    </row>
    <row r="172" spans="1:14" ht="12.75">
      <c r="A172" s="2">
        <v>38099.33472222222</v>
      </c>
      <c r="B172">
        <f t="shared" si="8"/>
        <v>104</v>
      </c>
      <c r="C172">
        <f t="shared" si="58"/>
        <v>104</v>
      </c>
      <c r="D172">
        <f t="shared" si="60"/>
        <v>70</v>
      </c>
      <c r="E172">
        <f t="shared" si="61"/>
        <v>76</v>
      </c>
      <c r="F172">
        <f t="shared" si="59"/>
        <v>73</v>
      </c>
      <c r="G172">
        <f t="shared" si="45"/>
        <v>108</v>
      </c>
      <c r="H172">
        <f t="shared" si="52"/>
        <v>-165</v>
      </c>
      <c r="I172">
        <f t="shared" si="53"/>
        <v>-61</v>
      </c>
      <c r="J172">
        <f t="shared" si="54"/>
        <v>9</v>
      </c>
      <c r="K172">
        <v>0</v>
      </c>
      <c r="L172">
        <f t="shared" si="55"/>
        <v>12</v>
      </c>
      <c r="M172">
        <f t="shared" si="56"/>
        <v>88</v>
      </c>
      <c r="N172">
        <f t="shared" si="57"/>
        <v>161</v>
      </c>
    </row>
    <row r="173" spans="1:14" ht="12.75">
      <c r="A173" s="2">
        <v>38100.694444444445</v>
      </c>
      <c r="B173">
        <f t="shared" si="8"/>
        <v>104</v>
      </c>
      <c r="C173">
        <f t="shared" si="58"/>
        <v>104</v>
      </c>
      <c r="D173">
        <f t="shared" si="60"/>
        <v>70</v>
      </c>
      <c r="E173">
        <f t="shared" si="61"/>
        <v>76</v>
      </c>
      <c r="F173">
        <f t="shared" si="59"/>
        <v>73</v>
      </c>
      <c r="G173">
        <f t="shared" si="45"/>
        <v>108</v>
      </c>
      <c r="H173">
        <f aca="true" t="shared" si="62" ref="H173:H178">B173-269</f>
        <v>-165</v>
      </c>
      <c r="I173">
        <f aca="true" t="shared" si="63" ref="I173:I178">B173+C173-269</f>
        <v>-61</v>
      </c>
      <c r="J173">
        <f aca="true" t="shared" si="64" ref="J173:J178">B173+C173+D173-269</f>
        <v>9</v>
      </c>
      <c r="K173">
        <v>0</v>
      </c>
      <c r="L173">
        <f aca="true" t="shared" si="65" ref="L173:L178">269-G173-F173-E173</f>
        <v>12</v>
      </c>
      <c r="M173">
        <f aca="true" t="shared" si="66" ref="M173:M178">269-G173-F173</f>
        <v>88</v>
      </c>
      <c r="N173">
        <f aca="true" t="shared" si="67" ref="N173:N178">269-G173</f>
        <v>161</v>
      </c>
    </row>
    <row r="174" spans="1:14" ht="12.75">
      <c r="A174" s="2">
        <v>38101.67638888889</v>
      </c>
      <c r="B174">
        <f t="shared" si="8"/>
        <v>104</v>
      </c>
      <c r="C174">
        <f t="shared" si="58"/>
        <v>104</v>
      </c>
      <c r="D174">
        <f t="shared" si="60"/>
        <v>70</v>
      </c>
      <c r="E174">
        <f t="shared" si="61"/>
        <v>76</v>
      </c>
      <c r="F174">
        <f t="shared" si="59"/>
        <v>73</v>
      </c>
      <c r="G174">
        <f t="shared" si="45"/>
        <v>108</v>
      </c>
      <c r="H174">
        <f t="shared" si="62"/>
        <v>-165</v>
      </c>
      <c r="I174">
        <f t="shared" si="63"/>
        <v>-61</v>
      </c>
      <c r="J174">
        <f t="shared" si="64"/>
        <v>9</v>
      </c>
      <c r="K174">
        <v>0</v>
      </c>
      <c r="L174">
        <f t="shared" si="65"/>
        <v>12</v>
      </c>
      <c r="M174">
        <f t="shared" si="66"/>
        <v>88</v>
      </c>
      <c r="N174">
        <f t="shared" si="67"/>
        <v>161</v>
      </c>
    </row>
    <row r="175" spans="1:14" ht="12.75">
      <c r="A175" s="2">
        <v>38102.9625</v>
      </c>
      <c r="B175">
        <f t="shared" si="8"/>
        <v>104</v>
      </c>
      <c r="C175">
        <f t="shared" si="58"/>
        <v>104</v>
      </c>
      <c r="D175">
        <f t="shared" si="60"/>
        <v>70</v>
      </c>
      <c r="E175">
        <f t="shared" si="61"/>
        <v>76</v>
      </c>
      <c r="F175">
        <f t="shared" si="59"/>
        <v>73</v>
      </c>
      <c r="G175">
        <f t="shared" si="45"/>
        <v>108</v>
      </c>
      <c r="H175">
        <f t="shared" si="62"/>
        <v>-165</v>
      </c>
      <c r="I175">
        <f t="shared" si="63"/>
        <v>-61</v>
      </c>
      <c r="J175">
        <f t="shared" si="64"/>
        <v>9</v>
      </c>
      <c r="K175">
        <v>0</v>
      </c>
      <c r="L175">
        <f t="shared" si="65"/>
        <v>12</v>
      </c>
      <c r="M175">
        <f t="shared" si="66"/>
        <v>88</v>
      </c>
      <c r="N175">
        <f t="shared" si="67"/>
        <v>161</v>
      </c>
    </row>
    <row r="176" spans="1:14" ht="12.75">
      <c r="A176" s="2">
        <v>38103.82916666667</v>
      </c>
      <c r="B176">
        <f t="shared" si="8"/>
        <v>104</v>
      </c>
      <c r="C176">
        <f t="shared" si="58"/>
        <v>104</v>
      </c>
      <c r="D176">
        <f t="shared" si="60"/>
        <v>70</v>
      </c>
      <c r="E176">
        <f t="shared" si="61"/>
        <v>76</v>
      </c>
      <c r="F176">
        <f t="shared" si="59"/>
        <v>73</v>
      </c>
      <c r="G176">
        <f t="shared" si="45"/>
        <v>108</v>
      </c>
      <c r="H176">
        <f t="shared" si="62"/>
        <v>-165</v>
      </c>
      <c r="I176">
        <f t="shared" si="63"/>
        <v>-61</v>
      </c>
      <c r="J176">
        <f t="shared" si="64"/>
        <v>9</v>
      </c>
      <c r="K176">
        <v>0</v>
      </c>
      <c r="L176">
        <f t="shared" si="65"/>
        <v>12</v>
      </c>
      <c r="M176">
        <f t="shared" si="66"/>
        <v>88</v>
      </c>
      <c r="N176">
        <f t="shared" si="67"/>
        <v>161</v>
      </c>
    </row>
    <row r="177" spans="1:14" ht="12.75">
      <c r="A177" s="2">
        <v>38104.56805555556</v>
      </c>
      <c r="B177">
        <f t="shared" si="8"/>
        <v>104</v>
      </c>
      <c r="C177">
        <f t="shared" si="58"/>
        <v>104</v>
      </c>
      <c r="D177">
        <f t="shared" si="60"/>
        <v>70</v>
      </c>
      <c r="E177">
        <f t="shared" si="61"/>
        <v>76</v>
      </c>
      <c r="F177">
        <f t="shared" si="59"/>
        <v>73</v>
      </c>
      <c r="G177">
        <f t="shared" si="45"/>
        <v>108</v>
      </c>
      <c r="H177">
        <f t="shared" si="62"/>
        <v>-165</v>
      </c>
      <c r="I177">
        <f t="shared" si="63"/>
        <v>-61</v>
      </c>
      <c r="J177">
        <f t="shared" si="64"/>
        <v>9</v>
      </c>
      <c r="K177">
        <v>0</v>
      </c>
      <c r="L177">
        <f t="shared" si="65"/>
        <v>12</v>
      </c>
      <c r="M177">
        <f t="shared" si="66"/>
        <v>88</v>
      </c>
      <c r="N177">
        <f t="shared" si="67"/>
        <v>161</v>
      </c>
    </row>
    <row r="178" spans="1:14" ht="12.75">
      <c r="A178" s="2">
        <v>38105.59166666667</v>
      </c>
      <c r="B178">
        <f t="shared" si="8"/>
        <v>104</v>
      </c>
      <c r="C178">
        <f t="shared" si="58"/>
        <v>104</v>
      </c>
      <c r="D178">
        <f t="shared" si="60"/>
        <v>70</v>
      </c>
      <c r="E178">
        <f>17+15+3+5+10+9+5</f>
        <v>64</v>
      </c>
      <c r="F178">
        <f>11+7+3+10+7+31+4+12</f>
        <v>85</v>
      </c>
      <c r="G178">
        <f t="shared" si="45"/>
        <v>108</v>
      </c>
      <c r="H178">
        <f t="shared" si="62"/>
        <v>-165</v>
      </c>
      <c r="I178">
        <f t="shared" si="63"/>
        <v>-61</v>
      </c>
      <c r="J178">
        <f t="shared" si="64"/>
        <v>9</v>
      </c>
      <c r="K178">
        <v>0</v>
      </c>
      <c r="L178">
        <f t="shared" si="65"/>
        <v>12</v>
      </c>
      <c r="M178">
        <f t="shared" si="66"/>
        <v>76</v>
      </c>
      <c r="N178">
        <f t="shared" si="67"/>
        <v>161</v>
      </c>
    </row>
    <row r="179" spans="1:14" ht="12.75">
      <c r="A179" s="2">
        <v>38106.64444444444</v>
      </c>
      <c r="B179">
        <f t="shared" si="8"/>
        <v>104</v>
      </c>
      <c r="C179">
        <f t="shared" si="58"/>
        <v>104</v>
      </c>
      <c r="D179">
        <f t="shared" si="60"/>
        <v>70</v>
      </c>
      <c r="E179">
        <f>17+15+3+5+10+9+5</f>
        <v>64</v>
      </c>
      <c r="F179">
        <f>11+7+3+10+7+31+4+12</f>
        <v>85</v>
      </c>
      <c r="G179">
        <f t="shared" si="45"/>
        <v>108</v>
      </c>
      <c r="H179">
        <f aca="true" t="shared" si="68" ref="H179:H184">B179-269</f>
        <v>-165</v>
      </c>
      <c r="I179">
        <f aca="true" t="shared" si="69" ref="I179:I184">B179+C179-269</f>
        <v>-61</v>
      </c>
      <c r="J179">
        <f aca="true" t="shared" si="70" ref="J179:J184">B179+C179+D179-269</f>
        <v>9</v>
      </c>
      <c r="K179">
        <v>0</v>
      </c>
      <c r="L179">
        <f aca="true" t="shared" si="71" ref="L179:L184">269-G179-F179-E179</f>
        <v>12</v>
      </c>
      <c r="M179">
        <f aca="true" t="shared" si="72" ref="M179:M184">269-G179-F179</f>
        <v>76</v>
      </c>
      <c r="N179">
        <f aca="true" t="shared" si="73" ref="N179:N184">269-G179</f>
        <v>161</v>
      </c>
    </row>
    <row r="180" spans="1:14" ht="12.75">
      <c r="A180" s="2">
        <v>38107.53958333333</v>
      </c>
      <c r="B180">
        <f t="shared" si="8"/>
        <v>104</v>
      </c>
      <c r="C180">
        <f t="shared" si="58"/>
        <v>104</v>
      </c>
      <c r="D180">
        <f t="shared" si="60"/>
        <v>70</v>
      </c>
      <c r="E180">
        <f>17+3+5+10+9+5</f>
        <v>49</v>
      </c>
      <c r="F180">
        <f>11+7+3+10+7+31+4+12+15</f>
        <v>100</v>
      </c>
      <c r="G180">
        <f t="shared" si="45"/>
        <v>108</v>
      </c>
      <c r="H180">
        <f t="shared" si="68"/>
        <v>-165</v>
      </c>
      <c r="I180">
        <f t="shared" si="69"/>
        <v>-61</v>
      </c>
      <c r="J180">
        <f t="shared" si="70"/>
        <v>9</v>
      </c>
      <c r="K180">
        <v>0</v>
      </c>
      <c r="L180">
        <f t="shared" si="71"/>
        <v>12</v>
      </c>
      <c r="M180">
        <f t="shared" si="72"/>
        <v>61</v>
      </c>
      <c r="N180">
        <f t="shared" si="73"/>
        <v>161</v>
      </c>
    </row>
    <row r="181" spans="1:14" ht="12.75">
      <c r="A181" s="2">
        <v>38108.665972222225</v>
      </c>
      <c r="B181">
        <f t="shared" si="8"/>
        <v>104</v>
      </c>
      <c r="C181">
        <f t="shared" si="58"/>
        <v>104</v>
      </c>
      <c r="D181">
        <f t="shared" si="60"/>
        <v>70</v>
      </c>
      <c r="E181">
        <f>17+3+5+10+9+5+4</f>
        <v>53</v>
      </c>
      <c r="F181">
        <f aca="true" t="shared" si="74" ref="F181:F201">11+7+3+10+7+31+12+15</f>
        <v>96</v>
      </c>
      <c r="G181">
        <f t="shared" si="45"/>
        <v>108</v>
      </c>
      <c r="H181">
        <f t="shared" si="68"/>
        <v>-165</v>
      </c>
      <c r="I181">
        <f t="shared" si="69"/>
        <v>-61</v>
      </c>
      <c r="J181">
        <f t="shared" si="70"/>
        <v>9</v>
      </c>
      <c r="K181">
        <v>0</v>
      </c>
      <c r="L181">
        <f t="shared" si="71"/>
        <v>12</v>
      </c>
      <c r="M181">
        <f t="shared" si="72"/>
        <v>65</v>
      </c>
      <c r="N181">
        <f t="shared" si="73"/>
        <v>161</v>
      </c>
    </row>
    <row r="182" spans="1:14" ht="12.75">
      <c r="A182" s="2">
        <v>38109.850694444445</v>
      </c>
      <c r="B182">
        <f t="shared" si="8"/>
        <v>104</v>
      </c>
      <c r="C182">
        <f t="shared" si="58"/>
        <v>104</v>
      </c>
      <c r="D182">
        <f t="shared" si="60"/>
        <v>70</v>
      </c>
      <c r="E182">
        <f>17+3+5+10+9+5+4</f>
        <v>53</v>
      </c>
      <c r="F182">
        <f t="shared" si="74"/>
        <v>96</v>
      </c>
      <c r="G182">
        <f t="shared" si="45"/>
        <v>108</v>
      </c>
      <c r="H182">
        <f t="shared" si="68"/>
        <v>-165</v>
      </c>
      <c r="I182">
        <f t="shared" si="69"/>
        <v>-61</v>
      </c>
      <c r="J182">
        <f t="shared" si="70"/>
        <v>9</v>
      </c>
      <c r="K182">
        <v>0</v>
      </c>
      <c r="L182">
        <f t="shared" si="71"/>
        <v>12</v>
      </c>
      <c r="M182">
        <f t="shared" si="72"/>
        <v>65</v>
      </c>
      <c r="N182">
        <f t="shared" si="73"/>
        <v>161</v>
      </c>
    </row>
    <row r="183" spans="1:14" ht="12.75">
      <c r="A183" s="2">
        <v>38110.65694444445</v>
      </c>
      <c r="B183">
        <f t="shared" si="8"/>
        <v>104</v>
      </c>
      <c r="C183">
        <f t="shared" si="58"/>
        <v>104</v>
      </c>
      <c r="D183">
        <f aca="true" t="shared" si="75" ref="D183:D189">5+8+3+20+13+21+4</f>
        <v>74</v>
      </c>
      <c r="E183">
        <f aca="true" t="shared" si="76" ref="E183:E189">17+3+5+10+9+5</f>
        <v>49</v>
      </c>
      <c r="F183">
        <f t="shared" si="74"/>
        <v>96</v>
      </c>
      <c r="G183">
        <f t="shared" si="45"/>
        <v>108</v>
      </c>
      <c r="H183">
        <f t="shared" si="68"/>
        <v>-165</v>
      </c>
      <c r="I183">
        <f t="shared" si="69"/>
        <v>-61</v>
      </c>
      <c r="J183">
        <f t="shared" si="70"/>
        <v>13</v>
      </c>
      <c r="K183">
        <v>0</v>
      </c>
      <c r="L183">
        <f t="shared" si="71"/>
        <v>16</v>
      </c>
      <c r="M183">
        <f t="shared" si="72"/>
        <v>65</v>
      </c>
      <c r="N183">
        <f t="shared" si="73"/>
        <v>161</v>
      </c>
    </row>
    <row r="184" spans="1:14" ht="12.75">
      <c r="A184" s="2">
        <v>38111.544444444444</v>
      </c>
      <c r="B184">
        <f t="shared" si="8"/>
        <v>104</v>
      </c>
      <c r="C184">
        <f t="shared" si="58"/>
        <v>104</v>
      </c>
      <c r="D184">
        <f t="shared" si="75"/>
        <v>74</v>
      </c>
      <c r="E184">
        <f t="shared" si="76"/>
        <v>49</v>
      </c>
      <c r="F184">
        <f t="shared" si="74"/>
        <v>96</v>
      </c>
      <c r="G184">
        <f t="shared" si="45"/>
        <v>108</v>
      </c>
      <c r="H184">
        <f t="shared" si="68"/>
        <v>-165</v>
      </c>
      <c r="I184">
        <f t="shared" si="69"/>
        <v>-61</v>
      </c>
      <c r="J184">
        <f t="shared" si="70"/>
        <v>13</v>
      </c>
      <c r="K184">
        <v>0</v>
      </c>
      <c r="L184">
        <f t="shared" si="71"/>
        <v>16</v>
      </c>
      <c r="M184">
        <f t="shared" si="72"/>
        <v>65</v>
      </c>
      <c r="N184">
        <f t="shared" si="73"/>
        <v>161</v>
      </c>
    </row>
    <row r="185" spans="1:14" ht="12.75">
      <c r="A185" s="2">
        <v>38112.572222222225</v>
      </c>
      <c r="B185">
        <f t="shared" si="8"/>
        <v>104</v>
      </c>
      <c r="C185">
        <f t="shared" si="58"/>
        <v>104</v>
      </c>
      <c r="D185">
        <f t="shared" si="75"/>
        <v>74</v>
      </c>
      <c r="E185">
        <f t="shared" si="76"/>
        <v>49</v>
      </c>
      <c r="F185">
        <f t="shared" si="74"/>
        <v>96</v>
      </c>
      <c r="G185">
        <f t="shared" si="45"/>
        <v>108</v>
      </c>
      <c r="H185">
        <f aca="true" t="shared" si="77" ref="H185:H190">B185-269</f>
        <v>-165</v>
      </c>
      <c r="I185">
        <f aca="true" t="shared" si="78" ref="I185:I190">B185+C185-269</f>
        <v>-61</v>
      </c>
      <c r="J185">
        <f aca="true" t="shared" si="79" ref="J185:J190">B185+C185+D185-269</f>
        <v>13</v>
      </c>
      <c r="K185">
        <v>0</v>
      </c>
      <c r="L185">
        <f aca="true" t="shared" si="80" ref="L185:L190">269-G185-F185-E185</f>
        <v>16</v>
      </c>
      <c r="M185">
        <f aca="true" t="shared" si="81" ref="M185:M190">269-G185-F185</f>
        <v>65</v>
      </c>
      <c r="N185">
        <f aca="true" t="shared" si="82" ref="N185:N190">269-G185</f>
        <v>161</v>
      </c>
    </row>
    <row r="186" spans="1:14" ht="12.75">
      <c r="A186" s="2">
        <v>38113.65347222222</v>
      </c>
      <c r="B186">
        <f t="shared" si="8"/>
        <v>104</v>
      </c>
      <c r="C186">
        <f t="shared" si="58"/>
        <v>104</v>
      </c>
      <c r="D186">
        <f t="shared" si="75"/>
        <v>74</v>
      </c>
      <c r="E186">
        <f t="shared" si="76"/>
        <v>49</v>
      </c>
      <c r="F186">
        <f t="shared" si="74"/>
        <v>96</v>
      </c>
      <c r="G186">
        <f t="shared" si="45"/>
        <v>108</v>
      </c>
      <c r="H186">
        <f t="shared" si="77"/>
        <v>-165</v>
      </c>
      <c r="I186">
        <f t="shared" si="78"/>
        <v>-61</v>
      </c>
      <c r="J186">
        <f t="shared" si="79"/>
        <v>13</v>
      </c>
      <c r="K186">
        <v>0</v>
      </c>
      <c r="L186">
        <f t="shared" si="80"/>
        <v>16</v>
      </c>
      <c r="M186">
        <f t="shared" si="81"/>
        <v>65</v>
      </c>
      <c r="N186">
        <f t="shared" si="82"/>
        <v>161</v>
      </c>
    </row>
    <row r="187" spans="1:14" ht="12.75">
      <c r="A187" s="2">
        <v>38114.59166666667</v>
      </c>
      <c r="B187">
        <f t="shared" si="8"/>
        <v>104</v>
      </c>
      <c r="C187">
        <f t="shared" si="58"/>
        <v>104</v>
      </c>
      <c r="D187">
        <f t="shared" si="75"/>
        <v>74</v>
      </c>
      <c r="E187">
        <f t="shared" si="76"/>
        <v>49</v>
      </c>
      <c r="F187">
        <f t="shared" si="74"/>
        <v>96</v>
      </c>
      <c r="G187">
        <f t="shared" si="45"/>
        <v>108</v>
      </c>
      <c r="H187">
        <f t="shared" si="77"/>
        <v>-165</v>
      </c>
      <c r="I187">
        <f t="shared" si="78"/>
        <v>-61</v>
      </c>
      <c r="J187">
        <f t="shared" si="79"/>
        <v>13</v>
      </c>
      <c r="K187">
        <v>0</v>
      </c>
      <c r="L187">
        <f t="shared" si="80"/>
        <v>16</v>
      </c>
      <c r="M187">
        <f t="shared" si="81"/>
        <v>65</v>
      </c>
      <c r="N187">
        <f t="shared" si="82"/>
        <v>161</v>
      </c>
    </row>
    <row r="188" spans="1:14" ht="12.75">
      <c r="A188" s="2">
        <v>38115.39236111111</v>
      </c>
      <c r="B188">
        <f t="shared" si="8"/>
        <v>104</v>
      </c>
      <c r="C188">
        <f t="shared" si="58"/>
        <v>104</v>
      </c>
      <c r="D188">
        <f t="shared" si="75"/>
        <v>74</v>
      </c>
      <c r="E188">
        <f t="shared" si="76"/>
        <v>49</v>
      </c>
      <c r="F188">
        <f t="shared" si="74"/>
        <v>96</v>
      </c>
      <c r="G188">
        <f t="shared" si="45"/>
        <v>108</v>
      </c>
      <c r="H188">
        <f t="shared" si="77"/>
        <v>-165</v>
      </c>
      <c r="I188">
        <f t="shared" si="78"/>
        <v>-61</v>
      </c>
      <c r="J188">
        <f t="shared" si="79"/>
        <v>13</v>
      </c>
      <c r="K188">
        <v>0</v>
      </c>
      <c r="L188">
        <f t="shared" si="80"/>
        <v>16</v>
      </c>
      <c r="M188">
        <f t="shared" si="81"/>
        <v>65</v>
      </c>
      <c r="N188">
        <f t="shared" si="82"/>
        <v>161</v>
      </c>
    </row>
    <row r="189" spans="1:14" ht="12.75">
      <c r="A189" s="2">
        <v>38116.78611111111</v>
      </c>
      <c r="B189">
        <f t="shared" si="8"/>
        <v>104</v>
      </c>
      <c r="C189">
        <f t="shared" si="58"/>
        <v>104</v>
      </c>
      <c r="D189">
        <f t="shared" si="75"/>
        <v>74</v>
      </c>
      <c r="E189">
        <f t="shared" si="76"/>
        <v>49</v>
      </c>
      <c r="F189">
        <f t="shared" si="74"/>
        <v>96</v>
      </c>
      <c r="G189">
        <f t="shared" si="45"/>
        <v>108</v>
      </c>
      <c r="H189">
        <f t="shared" si="77"/>
        <v>-165</v>
      </c>
      <c r="I189">
        <f t="shared" si="78"/>
        <v>-61</v>
      </c>
      <c r="J189">
        <f t="shared" si="79"/>
        <v>13</v>
      </c>
      <c r="K189">
        <v>0</v>
      </c>
      <c r="L189">
        <f t="shared" si="80"/>
        <v>16</v>
      </c>
      <c r="M189">
        <f t="shared" si="81"/>
        <v>65</v>
      </c>
      <c r="N189">
        <f t="shared" si="82"/>
        <v>161</v>
      </c>
    </row>
    <row r="190" spans="1:14" ht="12.75">
      <c r="A190" s="2">
        <v>38117.96875</v>
      </c>
      <c r="B190">
        <f>11+8+6+9+10+6+15+4+9+6+7+5+5+3</f>
        <v>104</v>
      </c>
      <c r="C190">
        <f t="shared" si="58"/>
        <v>104</v>
      </c>
      <c r="D190">
        <f>5+8+3+20+13+21+4+17</f>
        <v>91</v>
      </c>
      <c r="E190">
        <f>3+5+10+9+5</f>
        <v>32</v>
      </c>
      <c r="F190">
        <f t="shared" si="74"/>
        <v>96</v>
      </c>
      <c r="G190">
        <f t="shared" si="45"/>
        <v>108</v>
      </c>
      <c r="H190">
        <f t="shared" si="77"/>
        <v>-165</v>
      </c>
      <c r="I190">
        <f t="shared" si="78"/>
        <v>-61</v>
      </c>
      <c r="J190">
        <f t="shared" si="79"/>
        <v>30</v>
      </c>
      <c r="K190">
        <v>0</v>
      </c>
      <c r="L190">
        <f t="shared" si="80"/>
        <v>33</v>
      </c>
      <c r="M190">
        <f t="shared" si="81"/>
        <v>65</v>
      </c>
      <c r="N190">
        <f t="shared" si="82"/>
        <v>161</v>
      </c>
    </row>
    <row r="191" spans="1:14" ht="12.75">
      <c r="A191" s="2">
        <v>38118.552083333336</v>
      </c>
      <c r="B191">
        <f>11+8+6+9+10+6+15+4+9+6+7+5+5+3</f>
        <v>104</v>
      </c>
      <c r="C191">
        <f t="shared" si="58"/>
        <v>104</v>
      </c>
      <c r="D191">
        <f>5+8+3+20+13+21+4+17</f>
        <v>91</v>
      </c>
      <c r="E191">
        <f>3+5+10+9+5</f>
        <v>32</v>
      </c>
      <c r="F191">
        <f t="shared" si="74"/>
        <v>96</v>
      </c>
      <c r="G191">
        <f t="shared" si="45"/>
        <v>108</v>
      </c>
      <c r="H191">
        <f aca="true" t="shared" si="83" ref="H191:H196">B191-269</f>
        <v>-165</v>
      </c>
      <c r="I191">
        <f aca="true" t="shared" si="84" ref="I191:I196">B191+C191-269</f>
        <v>-61</v>
      </c>
      <c r="J191">
        <f aca="true" t="shared" si="85" ref="J191:J196">B191+C191+D191-269</f>
        <v>30</v>
      </c>
      <c r="K191">
        <v>0</v>
      </c>
      <c r="L191">
        <f aca="true" t="shared" si="86" ref="L191:L196">269-G191-F191-E191</f>
        <v>33</v>
      </c>
      <c r="M191">
        <f aca="true" t="shared" si="87" ref="M191:M196">269-G191-F191</f>
        <v>65</v>
      </c>
      <c r="N191">
        <f aca="true" t="shared" si="88" ref="N191:N196">269-G191</f>
        <v>161</v>
      </c>
    </row>
    <row r="192" spans="1:14" ht="12.75">
      <c r="A192" s="2">
        <v>38119.325694444444</v>
      </c>
      <c r="B192">
        <f>11+8+6+9+10+6+15+4+9+6+7+5+5+3</f>
        <v>104</v>
      </c>
      <c r="C192">
        <f t="shared" si="58"/>
        <v>104</v>
      </c>
      <c r="D192">
        <f>5+8+3+20+13+21+4+17</f>
        <v>91</v>
      </c>
      <c r="E192">
        <f>3+5+10+9+5</f>
        <v>32</v>
      </c>
      <c r="F192">
        <f t="shared" si="74"/>
        <v>96</v>
      </c>
      <c r="G192">
        <f t="shared" si="45"/>
        <v>108</v>
      </c>
      <c r="H192">
        <f t="shared" si="83"/>
        <v>-165</v>
      </c>
      <c r="I192">
        <f t="shared" si="84"/>
        <v>-61</v>
      </c>
      <c r="J192">
        <f t="shared" si="85"/>
        <v>30</v>
      </c>
      <c r="K192">
        <v>0</v>
      </c>
      <c r="L192">
        <f t="shared" si="86"/>
        <v>33</v>
      </c>
      <c r="M192">
        <f t="shared" si="87"/>
        <v>65</v>
      </c>
      <c r="N192">
        <f t="shared" si="88"/>
        <v>161</v>
      </c>
    </row>
    <row r="193" spans="1:14" ht="12.75">
      <c r="A193" s="2">
        <v>38120.7125</v>
      </c>
      <c r="B193">
        <f>11+8+6+9+10+6+15+4+9+6+7+5+5+3</f>
        <v>104</v>
      </c>
      <c r="C193">
        <f t="shared" si="58"/>
        <v>104</v>
      </c>
      <c r="D193">
        <f>5+8+3+20+13+21+4+17</f>
        <v>91</v>
      </c>
      <c r="E193">
        <f>3+5+10+9+5</f>
        <v>32</v>
      </c>
      <c r="F193">
        <f t="shared" si="74"/>
        <v>96</v>
      </c>
      <c r="G193">
        <f t="shared" si="45"/>
        <v>108</v>
      </c>
      <c r="H193">
        <f t="shared" si="83"/>
        <v>-165</v>
      </c>
      <c r="I193">
        <f t="shared" si="84"/>
        <v>-61</v>
      </c>
      <c r="J193">
        <f t="shared" si="85"/>
        <v>30</v>
      </c>
      <c r="K193">
        <v>0</v>
      </c>
      <c r="L193">
        <f t="shared" si="86"/>
        <v>33</v>
      </c>
      <c r="M193">
        <f t="shared" si="87"/>
        <v>65</v>
      </c>
      <c r="N193">
        <f t="shared" si="88"/>
        <v>161</v>
      </c>
    </row>
    <row r="194" spans="1:14" ht="12.75">
      <c r="A194" s="2">
        <v>38121.64236111111</v>
      </c>
      <c r="B194">
        <f>11+8+6+9+10+6+15+4+9+6+7+5+5+3</f>
        <v>104</v>
      </c>
      <c r="C194">
        <f t="shared" si="58"/>
        <v>104</v>
      </c>
      <c r="D194">
        <f>5+8+3+20+13+21+4+17+3</f>
        <v>94</v>
      </c>
      <c r="E194">
        <f aca="true" t="shared" si="89" ref="E194:E199">5+10+9+5</f>
        <v>29</v>
      </c>
      <c r="F194">
        <f t="shared" si="74"/>
        <v>96</v>
      </c>
      <c r="G194">
        <f t="shared" si="45"/>
        <v>108</v>
      </c>
      <c r="H194">
        <f t="shared" si="83"/>
        <v>-165</v>
      </c>
      <c r="I194">
        <f t="shared" si="84"/>
        <v>-61</v>
      </c>
      <c r="J194">
        <f t="shared" si="85"/>
        <v>33</v>
      </c>
      <c r="K194">
        <v>0</v>
      </c>
      <c r="L194">
        <f t="shared" si="86"/>
        <v>36</v>
      </c>
      <c r="M194">
        <f t="shared" si="87"/>
        <v>65</v>
      </c>
      <c r="N194">
        <f t="shared" si="88"/>
        <v>161</v>
      </c>
    </row>
    <row r="195" spans="1:14" ht="12.75">
      <c r="A195" s="2">
        <v>38122.57847222222</v>
      </c>
      <c r="B195">
        <f aca="true" t="shared" si="90" ref="B195:B206">11+8+6+9+10+6+15+4+9+6+7+5+5+3+3</f>
        <v>107</v>
      </c>
      <c r="C195">
        <f t="shared" si="58"/>
        <v>104</v>
      </c>
      <c r="D195">
        <f>5+8+3+20+13+21+4+17</f>
        <v>91</v>
      </c>
      <c r="E195">
        <f t="shared" si="89"/>
        <v>29</v>
      </c>
      <c r="F195">
        <f t="shared" si="74"/>
        <v>96</v>
      </c>
      <c r="G195">
        <f t="shared" si="45"/>
        <v>108</v>
      </c>
      <c r="H195">
        <f t="shared" si="83"/>
        <v>-162</v>
      </c>
      <c r="I195">
        <f t="shared" si="84"/>
        <v>-58</v>
      </c>
      <c r="J195">
        <f t="shared" si="85"/>
        <v>33</v>
      </c>
      <c r="K195">
        <v>0</v>
      </c>
      <c r="L195">
        <f t="shared" si="86"/>
        <v>36</v>
      </c>
      <c r="M195">
        <f t="shared" si="87"/>
        <v>65</v>
      </c>
      <c r="N195">
        <f t="shared" si="88"/>
        <v>161</v>
      </c>
    </row>
    <row r="196" spans="1:14" ht="12.75">
      <c r="A196" s="2">
        <v>38123.86736111111</v>
      </c>
      <c r="B196">
        <f t="shared" si="90"/>
        <v>107</v>
      </c>
      <c r="C196">
        <f t="shared" si="58"/>
        <v>104</v>
      </c>
      <c r="D196">
        <f>5+8+3+20+13+21+4+17</f>
        <v>91</v>
      </c>
      <c r="E196">
        <f t="shared" si="89"/>
        <v>29</v>
      </c>
      <c r="F196">
        <f t="shared" si="74"/>
        <v>96</v>
      </c>
      <c r="G196">
        <f t="shared" si="45"/>
        <v>108</v>
      </c>
      <c r="H196">
        <f t="shared" si="83"/>
        <v>-162</v>
      </c>
      <c r="I196">
        <f t="shared" si="84"/>
        <v>-58</v>
      </c>
      <c r="J196">
        <f t="shared" si="85"/>
        <v>33</v>
      </c>
      <c r="K196">
        <v>0</v>
      </c>
      <c r="L196">
        <f t="shared" si="86"/>
        <v>36</v>
      </c>
      <c r="M196">
        <f t="shared" si="87"/>
        <v>65</v>
      </c>
      <c r="N196">
        <f t="shared" si="88"/>
        <v>161</v>
      </c>
    </row>
    <row r="197" spans="1:14" ht="12.75">
      <c r="A197" s="2">
        <v>38124.743055555555</v>
      </c>
      <c r="B197">
        <f t="shared" si="90"/>
        <v>107</v>
      </c>
      <c r="C197">
        <f t="shared" si="58"/>
        <v>104</v>
      </c>
      <c r="D197">
        <f>5+8+3+20+13+21+4+17</f>
        <v>91</v>
      </c>
      <c r="E197">
        <f t="shared" si="89"/>
        <v>29</v>
      </c>
      <c r="F197">
        <f t="shared" si="74"/>
        <v>96</v>
      </c>
      <c r="G197">
        <f t="shared" si="45"/>
        <v>108</v>
      </c>
      <c r="H197">
        <f aca="true" t="shared" si="91" ref="H197:H202">B197-269</f>
        <v>-162</v>
      </c>
      <c r="I197">
        <f aca="true" t="shared" si="92" ref="I197:I202">B197+C197-269</f>
        <v>-58</v>
      </c>
      <c r="J197">
        <f aca="true" t="shared" si="93" ref="J197:J202">B197+C197+D197-269</f>
        <v>33</v>
      </c>
      <c r="K197">
        <v>0</v>
      </c>
      <c r="L197">
        <f aca="true" t="shared" si="94" ref="L197:L202">269-G197-F197-E197</f>
        <v>36</v>
      </c>
      <c r="M197">
        <f aca="true" t="shared" si="95" ref="M197:M202">269-G197-F197</f>
        <v>65</v>
      </c>
      <c r="N197">
        <f aca="true" t="shared" si="96" ref="N197:N202">269-G197</f>
        <v>161</v>
      </c>
    </row>
    <row r="198" spans="1:14" ht="12.75">
      <c r="A198" s="2">
        <v>38125.64375</v>
      </c>
      <c r="B198">
        <f t="shared" si="90"/>
        <v>107</v>
      </c>
      <c r="C198">
        <f>15+11+3+27+3+34+11+5</f>
        <v>109</v>
      </c>
      <c r="D198">
        <f>8+3+20+13+21+4+17</f>
        <v>86</v>
      </c>
      <c r="E198">
        <f t="shared" si="89"/>
        <v>29</v>
      </c>
      <c r="F198">
        <f t="shared" si="74"/>
        <v>96</v>
      </c>
      <c r="G198">
        <f t="shared" si="45"/>
        <v>108</v>
      </c>
      <c r="H198">
        <f t="shared" si="91"/>
        <v>-162</v>
      </c>
      <c r="I198">
        <f t="shared" si="92"/>
        <v>-53</v>
      </c>
      <c r="J198">
        <f t="shared" si="93"/>
        <v>33</v>
      </c>
      <c r="K198">
        <v>0</v>
      </c>
      <c r="L198">
        <f t="shared" si="94"/>
        <v>36</v>
      </c>
      <c r="M198">
        <f t="shared" si="95"/>
        <v>65</v>
      </c>
      <c r="N198">
        <f t="shared" si="96"/>
        <v>161</v>
      </c>
    </row>
    <row r="199" spans="1:14" ht="12.75">
      <c r="A199" s="2">
        <v>38126.64513888889</v>
      </c>
      <c r="B199">
        <f t="shared" si="90"/>
        <v>107</v>
      </c>
      <c r="C199">
        <f>15+11+3+27+3+34+11+5</f>
        <v>109</v>
      </c>
      <c r="D199">
        <f>8+3+20+13+21+4+17</f>
        <v>86</v>
      </c>
      <c r="E199">
        <f t="shared" si="89"/>
        <v>29</v>
      </c>
      <c r="F199">
        <f t="shared" si="74"/>
        <v>96</v>
      </c>
      <c r="G199">
        <f t="shared" si="45"/>
        <v>108</v>
      </c>
      <c r="H199">
        <f t="shared" si="91"/>
        <v>-162</v>
      </c>
      <c r="I199">
        <f t="shared" si="92"/>
        <v>-53</v>
      </c>
      <c r="J199">
        <f t="shared" si="93"/>
        <v>33</v>
      </c>
      <c r="K199">
        <v>0</v>
      </c>
      <c r="L199">
        <f t="shared" si="94"/>
        <v>36</v>
      </c>
      <c r="M199">
        <f t="shared" si="95"/>
        <v>65</v>
      </c>
      <c r="N199">
        <f t="shared" si="96"/>
        <v>161</v>
      </c>
    </row>
    <row r="200" spans="1:14" ht="12.75">
      <c r="A200" s="2">
        <v>38127.65277777778</v>
      </c>
      <c r="B200">
        <f t="shared" si="90"/>
        <v>107</v>
      </c>
      <c r="C200">
        <f>15+11+3+27+3+34+11+5+13</f>
        <v>122</v>
      </c>
      <c r="D200">
        <f>8+3+20+4+17</f>
        <v>52</v>
      </c>
      <c r="E200">
        <f>5+10+9+5+21</f>
        <v>50</v>
      </c>
      <c r="F200">
        <f t="shared" si="74"/>
        <v>96</v>
      </c>
      <c r="G200">
        <f t="shared" si="45"/>
        <v>108</v>
      </c>
      <c r="H200">
        <f t="shared" si="91"/>
        <v>-162</v>
      </c>
      <c r="I200">
        <f t="shared" si="92"/>
        <v>-40</v>
      </c>
      <c r="J200">
        <f t="shared" si="93"/>
        <v>12</v>
      </c>
      <c r="K200">
        <v>0</v>
      </c>
      <c r="L200">
        <f t="shared" si="94"/>
        <v>15</v>
      </c>
      <c r="M200">
        <f t="shared" si="95"/>
        <v>65</v>
      </c>
      <c r="N200">
        <f t="shared" si="96"/>
        <v>161</v>
      </c>
    </row>
    <row r="201" spans="1:14" ht="12.75">
      <c r="A201" s="2">
        <v>38128.5875</v>
      </c>
      <c r="B201">
        <f t="shared" si="90"/>
        <v>107</v>
      </c>
      <c r="C201">
        <f>15+11+3+27+3+34+5+13</f>
        <v>111</v>
      </c>
      <c r="D201">
        <f>8+3+20+4+17+11</f>
        <v>63</v>
      </c>
      <c r="E201">
        <f>5+10+9+5+21</f>
        <v>50</v>
      </c>
      <c r="F201">
        <f t="shared" si="74"/>
        <v>96</v>
      </c>
      <c r="G201">
        <f t="shared" si="45"/>
        <v>108</v>
      </c>
      <c r="H201">
        <f t="shared" si="91"/>
        <v>-162</v>
      </c>
      <c r="I201">
        <f t="shared" si="92"/>
        <v>-51</v>
      </c>
      <c r="J201">
        <f t="shared" si="93"/>
        <v>12</v>
      </c>
      <c r="K201">
        <v>0</v>
      </c>
      <c r="L201">
        <f t="shared" si="94"/>
        <v>15</v>
      </c>
      <c r="M201">
        <f t="shared" si="95"/>
        <v>65</v>
      </c>
      <c r="N201">
        <f t="shared" si="96"/>
        <v>161</v>
      </c>
    </row>
    <row r="202" spans="1:14" ht="12.75">
      <c r="A202" s="2">
        <v>38129.65972222222</v>
      </c>
      <c r="B202">
        <f t="shared" si="90"/>
        <v>107</v>
      </c>
      <c r="C202">
        <f>15+11+3+27+3+34+5</f>
        <v>98</v>
      </c>
      <c r="D202">
        <f aca="true" t="shared" si="97" ref="D202:D216">8+3+4+17+11+13</f>
        <v>56</v>
      </c>
      <c r="E202">
        <f aca="true" t="shared" si="98" ref="E202:E225">5+10+9+5+20</f>
        <v>49</v>
      </c>
      <c r="F202">
        <f>11+7+3+10+7+31+12+15+21</f>
        <v>117</v>
      </c>
      <c r="G202">
        <f t="shared" si="45"/>
        <v>108</v>
      </c>
      <c r="H202">
        <f t="shared" si="91"/>
        <v>-162</v>
      </c>
      <c r="I202">
        <f t="shared" si="92"/>
        <v>-64</v>
      </c>
      <c r="J202">
        <f t="shared" si="93"/>
        <v>-8</v>
      </c>
      <c r="K202">
        <v>0</v>
      </c>
      <c r="L202">
        <f t="shared" si="94"/>
        <v>-5</v>
      </c>
      <c r="M202">
        <f t="shared" si="95"/>
        <v>44</v>
      </c>
      <c r="N202">
        <f t="shared" si="96"/>
        <v>161</v>
      </c>
    </row>
    <row r="203" spans="1:14" ht="12.75">
      <c r="A203" s="2">
        <v>38130.98055555556</v>
      </c>
      <c r="B203">
        <f t="shared" si="90"/>
        <v>107</v>
      </c>
      <c r="C203">
        <f>15+11+3+27+3+34+5</f>
        <v>98</v>
      </c>
      <c r="D203">
        <f t="shared" si="97"/>
        <v>56</v>
      </c>
      <c r="E203">
        <f t="shared" si="98"/>
        <v>49</v>
      </c>
      <c r="F203">
        <f>11+7+3+10+7+31+12+15+21</f>
        <v>117</v>
      </c>
      <c r="G203">
        <f t="shared" si="45"/>
        <v>108</v>
      </c>
      <c r="H203">
        <f aca="true" t="shared" si="99" ref="H203:H208">B203-269</f>
        <v>-162</v>
      </c>
      <c r="I203">
        <f aca="true" t="shared" si="100" ref="I203:I208">B203+C203-269</f>
        <v>-64</v>
      </c>
      <c r="J203">
        <f aca="true" t="shared" si="101" ref="J203:J208">B203+C203+D203-269</f>
        <v>-8</v>
      </c>
      <c r="K203">
        <v>0</v>
      </c>
      <c r="L203">
        <f aca="true" t="shared" si="102" ref="L203:L208">269-G203-F203-E203</f>
        <v>-5</v>
      </c>
      <c r="M203">
        <f aca="true" t="shared" si="103" ref="M203:M208">269-G203-F203</f>
        <v>44</v>
      </c>
      <c r="N203">
        <f aca="true" t="shared" si="104" ref="N203:N208">269-G203</f>
        <v>161</v>
      </c>
    </row>
    <row r="204" spans="1:14" ht="12.75">
      <c r="A204" s="2">
        <v>38131.349583333336</v>
      </c>
      <c r="B204">
        <f t="shared" si="90"/>
        <v>107</v>
      </c>
      <c r="C204">
        <f>15+11+3+27+3+34+5</f>
        <v>98</v>
      </c>
      <c r="D204">
        <f t="shared" si="97"/>
        <v>56</v>
      </c>
      <c r="E204">
        <f t="shared" si="98"/>
        <v>49</v>
      </c>
      <c r="F204">
        <f>11+7+3+10+7+31+12+15+21</f>
        <v>117</v>
      </c>
      <c r="G204">
        <f t="shared" si="45"/>
        <v>108</v>
      </c>
      <c r="H204">
        <f t="shared" si="99"/>
        <v>-162</v>
      </c>
      <c r="I204">
        <f t="shared" si="100"/>
        <v>-64</v>
      </c>
      <c r="J204">
        <f t="shared" si="101"/>
        <v>-8</v>
      </c>
      <c r="K204">
        <v>0</v>
      </c>
      <c r="L204">
        <f t="shared" si="102"/>
        <v>-5</v>
      </c>
      <c r="M204">
        <f t="shared" si="103"/>
        <v>44</v>
      </c>
      <c r="N204">
        <f t="shared" si="104"/>
        <v>161</v>
      </c>
    </row>
    <row r="205" spans="1:14" ht="12.75">
      <c r="A205" s="2">
        <v>38132.6125</v>
      </c>
      <c r="B205">
        <f t="shared" si="90"/>
        <v>107</v>
      </c>
      <c r="C205">
        <f>15+11+3+27+3+34+5</f>
        <v>98</v>
      </c>
      <c r="D205">
        <f t="shared" si="97"/>
        <v>56</v>
      </c>
      <c r="E205">
        <f t="shared" si="98"/>
        <v>49</v>
      </c>
      <c r="F205">
        <f>11+7+3+10+7+31+12+15+21</f>
        <v>117</v>
      </c>
      <c r="G205">
        <f t="shared" si="45"/>
        <v>108</v>
      </c>
      <c r="H205">
        <f t="shared" si="99"/>
        <v>-162</v>
      </c>
      <c r="I205">
        <f t="shared" si="100"/>
        <v>-64</v>
      </c>
      <c r="J205">
        <f t="shared" si="101"/>
        <v>-8</v>
      </c>
      <c r="K205">
        <v>0</v>
      </c>
      <c r="L205">
        <f t="shared" si="102"/>
        <v>-5</v>
      </c>
      <c r="M205">
        <f t="shared" si="103"/>
        <v>44</v>
      </c>
      <c r="N205">
        <f t="shared" si="104"/>
        <v>161</v>
      </c>
    </row>
    <row r="206" spans="1:14" ht="12.75">
      <c r="A206" s="2">
        <v>38133.61736111111</v>
      </c>
      <c r="B206">
        <f t="shared" si="90"/>
        <v>107</v>
      </c>
      <c r="C206">
        <f>15+11+3+27+3+34+5</f>
        <v>98</v>
      </c>
      <c r="D206">
        <f t="shared" si="97"/>
        <v>56</v>
      </c>
      <c r="E206">
        <f t="shared" si="98"/>
        <v>49</v>
      </c>
      <c r="F206">
        <f>11+7+3+7+31+12+15+21</f>
        <v>107</v>
      </c>
      <c r="G206">
        <f>55+7+4+4+21+4+10+3+10</f>
        <v>118</v>
      </c>
      <c r="H206">
        <f t="shared" si="99"/>
        <v>-162</v>
      </c>
      <c r="I206">
        <f t="shared" si="100"/>
        <v>-64</v>
      </c>
      <c r="J206">
        <f t="shared" si="101"/>
        <v>-8</v>
      </c>
      <c r="K206">
        <v>0</v>
      </c>
      <c r="L206">
        <f t="shared" si="102"/>
        <v>-5</v>
      </c>
      <c r="M206">
        <f t="shared" si="103"/>
        <v>44</v>
      </c>
      <c r="N206">
        <f t="shared" si="104"/>
        <v>151</v>
      </c>
    </row>
    <row r="207" spans="1:14" ht="12.75">
      <c r="A207" s="2">
        <v>38134.68194444444</v>
      </c>
      <c r="B207">
        <f>11+8+6+9+10+6+15+4+9+6+7+5+5+3+3+5</f>
        <v>112</v>
      </c>
      <c r="C207">
        <f>15+11+3+27+3+34</f>
        <v>93</v>
      </c>
      <c r="D207">
        <f t="shared" si="97"/>
        <v>56</v>
      </c>
      <c r="E207">
        <f t="shared" si="98"/>
        <v>49</v>
      </c>
      <c r="F207">
        <f>11+7+3+7+31+12+15+21</f>
        <v>107</v>
      </c>
      <c r="G207">
        <f>55+7+4+4+21+4+10+3+10</f>
        <v>118</v>
      </c>
      <c r="H207">
        <f t="shared" si="99"/>
        <v>-157</v>
      </c>
      <c r="I207">
        <f t="shared" si="100"/>
        <v>-64</v>
      </c>
      <c r="J207">
        <f t="shared" si="101"/>
        <v>-8</v>
      </c>
      <c r="K207">
        <v>0</v>
      </c>
      <c r="L207">
        <f t="shared" si="102"/>
        <v>-5</v>
      </c>
      <c r="M207">
        <f t="shared" si="103"/>
        <v>44</v>
      </c>
      <c r="N207">
        <f t="shared" si="104"/>
        <v>151</v>
      </c>
    </row>
    <row r="208" spans="1:14" ht="12.75">
      <c r="A208" s="2">
        <v>38135.65833333333</v>
      </c>
      <c r="B208">
        <f>11+8+6+9+10+6+15+4+9+6+7+5+5+3+3+5</f>
        <v>112</v>
      </c>
      <c r="C208">
        <f>15+11+3+27+3+34</f>
        <v>93</v>
      </c>
      <c r="D208">
        <f t="shared" si="97"/>
        <v>56</v>
      </c>
      <c r="E208">
        <f t="shared" si="98"/>
        <v>49</v>
      </c>
      <c r="F208">
        <f>11+7+3+7+31+12+15+21</f>
        <v>107</v>
      </c>
      <c r="G208">
        <f>55+7+4+4+21+4+10+3+10</f>
        <v>118</v>
      </c>
      <c r="H208">
        <f t="shared" si="99"/>
        <v>-157</v>
      </c>
      <c r="I208">
        <f t="shared" si="100"/>
        <v>-64</v>
      </c>
      <c r="J208">
        <f t="shared" si="101"/>
        <v>-8</v>
      </c>
      <c r="K208">
        <v>0</v>
      </c>
      <c r="L208">
        <f t="shared" si="102"/>
        <v>-5</v>
      </c>
      <c r="M208">
        <f t="shared" si="103"/>
        <v>44</v>
      </c>
      <c r="N208">
        <f t="shared" si="104"/>
        <v>151</v>
      </c>
    </row>
    <row r="209" spans="1:14" ht="12.75">
      <c r="A209" s="2">
        <v>38136.71319444444</v>
      </c>
      <c r="B209">
        <f aca="true" t="shared" si="105" ref="B209:B229">11+8+6+9+10+6+15+4+9+6+7+5+5+3+3+5+34</f>
        <v>146</v>
      </c>
      <c r="C209">
        <f aca="true" t="shared" si="106" ref="C209:C216">15+11+3+27+3</f>
        <v>59</v>
      </c>
      <c r="D209">
        <f t="shared" si="97"/>
        <v>56</v>
      </c>
      <c r="E209">
        <f t="shared" si="98"/>
        <v>49</v>
      </c>
      <c r="F209">
        <f>11+7+3+7+12+15+21</f>
        <v>76</v>
      </c>
      <c r="G209">
        <f>55+7+4+4+21+4+10+3+10+31</f>
        <v>149</v>
      </c>
      <c r="H209">
        <f aca="true" t="shared" si="107" ref="H209:H214">B209-269</f>
        <v>-123</v>
      </c>
      <c r="I209">
        <f aca="true" t="shared" si="108" ref="I209:I214">B209+C209-269</f>
        <v>-64</v>
      </c>
      <c r="J209">
        <f aca="true" t="shared" si="109" ref="J209:J214">B209+C209+D209-269</f>
        <v>-8</v>
      </c>
      <c r="K209">
        <v>0</v>
      </c>
      <c r="L209">
        <f aca="true" t="shared" si="110" ref="L209:L214">269-G209-F209-E209</f>
        <v>-5</v>
      </c>
      <c r="M209">
        <f aca="true" t="shared" si="111" ref="M209:M214">269-G209-F209</f>
        <v>44</v>
      </c>
      <c r="N209">
        <f aca="true" t="shared" si="112" ref="N209:N214">269-G209</f>
        <v>120</v>
      </c>
    </row>
    <row r="210" spans="1:14" ht="12.75">
      <c r="A210" s="2">
        <v>38137.75763888889</v>
      </c>
      <c r="B210">
        <f t="shared" si="105"/>
        <v>146</v>
      </c>
      <c r="C210">
        <f t="shared" si="106"/>
        <v>59</v>
      </c>
      <c r="D210">
        <f t="shared" si="97"/>
        <v>56</v>
      </c>
      <c r="E210">
        <f t="shared" si="98"/>
        <v>49</v>
      </c>
      <c r="F210">
        <f>11+7+3+7+12+15+21</f>
        <v>76</v>
      </c>
      <c r="G210">
        <f>55+7+4+4+21+4+10+3+10+31</f>
        <v>149</v>
      </c>
      <c r="H210">
        <f t="shared" si="107"/>
        <v>-123</v>
      </c>
      <c r="I210">
        <f t="shared" si="108"/>
        <v>-64</v>
      </c>
      <c r="J210">
        <f t="shared" si="109"/>
        <v>-8</v>
      </c>
      <c r="K210">
        <v>0</v>
      </c>
      <c r="L210">
        <f t="shared" si="110"/>
        <v>-5</v>
      </c>
      <c r="M210">
        <f t="shared" si="111"/>
        <v>44</v>
      </c>
      <c r="N210">
        <f t="shared" si="112"/>
        <v>120</v>
      </c>
    </row>
    <row r="211" spans="1:14" ht="12.75">
      <c r="A211" s="2">
        <v>38138.802777777775</v>
      </c>
      <c r="B211">
        <f t="shared" si="105"/>
        <v>146</v>
      </c>
      <c r="C211">
        <f t="shared" si="106"/>
        <v>59</v>
      </c>
      <c r="D211">
        <f t="shared" si="97"/>
        <v>56</v>
      </c>
      <c r="E211">
        <f t="shared" si="98"/>
        <v>49</v>
      </c>
      <c r="F211">
        <f>11+7+3+7+12+15+21</f>
        <v>76</v>
      </c>
      <c r="G211">
        <f>55+7+4+4+21+4+10+3+10+31</f>
        <v>149</v>
      </c>
      <c r="H211">
        <f t="shared" si="107"/>
        <v>-123</v>
      </c>
      <c r="I211">
        <f t="shared" si="108"/>
        <v>-64</v>
      </c>
      <c r="J211">
        <f t="shared" si="109"/>
        <v>-8</v>
      </c>
      <c r="K211">
        <v>0</v>
      </c>
      <c r="L211">
        <f t="shared" si="110"/>
        <v>-5</v>
      </c>
      <c r="M211">
        <f t="shared" si="111"/>
        <v>44</v>
      </c>
      <c r="N211">
        <f t="shared" si="112"/>
        <v>120</v>
      </c>
    </row>
    <row r="212" spans="1:14" ht="12.75">
      <c r="A212" s="2">
        <v>38139.68125</v>
      </c>
      <c r="B212">
        <f t="shared" si="105"/>
        <v>146</v>
      </c>
      <c r="C212">
        <f t="shared" si="106"/>
        <v>59</v>
      </c>
      <c r="D212">
        <f t="shared" si="97"/>
        <v>56</v>
      </c>
      <c r="E212">
        <f t="shared" si="98"/>
        <v>49</v>
      </c>
      <c r="F212">
        <f>11+7+3+7+12+15+21</f>
        <v>76</v>
      </c>
      <c r="G212">
        <f>55+7+4+4+21+4+10+3+10+31</f>
        <v>149</v>
      </c>
      <c r="H212">
        <f t="shared" si="107"/>
        <v>-123</v>
      </c>
      <c r="I212">
        <f t="shared" si="108"/>
        <v>-64</v>
      </c>
      <c r="J212">
        <f t="shared" si="109"/>
        <v>-8</v>
      </c>
      <c r="K212">
        <v>0</v>
      </c>
      <c r="L212">
        <f t="shared" si="110"/>
        <v>-5</v>
      </c>
      <c r="M212">
        <f t="shared" si="111"/>
        <v>44</v>
      </c>
      <c r="N212">
        <f t="shared" si="112"/>
        <v>120</v>
      </c>
    </row>
    <row r="213" spans="1:14" ht="12.75">
      <c r="A213" s="2">
        <v>38140.64027777778</v>
      </c>
      <c r="B213">
        <f t="shared" si="105"/>
        <v>146</v>
      </c>
      <c r="C213">
        <f t="shared" si="106"/>
        <v>59</v>
      </c>
      <c r="D213">
        <f t="shared" si="97"/>
        <v>56</v>
      </c>
      <c r="E213">
        <f t="shared" si="98"/>
        <v>49</v>
      </c>
      <c r="F213">
        <f aca="true" t="shared" si="113" ref="F213:F222">7+3+7+12+15+21</f>
        <v>65</v>
      </c>
      <c r="G213">
        <f aca="true" t="shared" si="114" ref="G213:G222">55+7+4+4+21+4+10+3+10+31+11</f>
        <v>160</v>
      </c>
      <c r="H213">
        <f t="shared" si="107"/>
        <v>-123</v>
      </c>
      <c r="I213">
        <f t="shared" si="108"/>
        <v>-64</v>
      </c>
      <c r="J213">
        <f t="shared" si="109"/>
        <v>-8</v>
      </c>
      <c r="K213">
        <v>0</v>
      </c>
      <c r="L213">
        <f t="shared" si="110"/>
        <v>-5</v>
      </c>
      <c r="M213">
        <f t="shared" si="111"/>
        <v>44</v>
      </c>
      <c r="N213">
        <f t="shared" si="112"/>
        <v>109</v>
      </c>
    </row>
    <row r="214" spans="1:14" ht="12.75">
      <c r="A214" s="2">
        <v>38141.69583333333</v>
      </c>
      <c r="B214">
        <f t="shared" si="105"/>
        <v>146</v>
      </c>
      <c r="C214">
        <f t="shared" si="106"/>
        <v>59</v>
      </c>
      <c r="D214">
        <f t="shared" si="97"/>
        <v>56</v>
      </c>
      <c r="E214">
        <f t="shared" si="98"/>
        <v>49</v>
      </c>
      <c r="F214">
        <f t="shared" si="113"/>
        <v>65</v>
      </c>
      <c r="G214">
        <f t="shared" si="114"/>
        <v>160</v>
      </c>
      <c r="H214">
        <f t="shared" si="107"/>
        <v>-123</v>
      </c>
      <c r="I214">
        <f t="shared" si="108"/>
        <v>-64</v>
      </c>
      <c r="J214">
        <f t="shared" si="109"/>
        <v>-8</v>
      </c>
      <c r="K214">
        <v>0</v>
      </c>
      <c r="L214">
        <f t="shared" si="110"/>
        <v>-5</v>
      </c>
      <c r="M214">
        <f t="shared" si="111"/>
        <v>44</v>
      </c>
      <c r="N214">
        <f t="shared" si="112"/>
        <v>109</v>
      </c>
    </row>
    <row r="215" spans="1:14" ht="12.75">
      <c r="A215" s="2">
        <v>38142.70208333333</v>
      </c>
      <c r="B215">
        <f t="shared" si="105"/>
        <v>146</v>
      </c>
      <c r="C215">
        <f t="shared" si="106"/>
        <v>59</v>
      </c>
      <c r="D215">
        <f t="shared" si="97"/>
        <v>56</v>
      </c>
      <c r="E215">
        <f t="shared" si="98"/>
        <v>49</v>
      </c>
      <c r="F215">
        <f t="shared" si="113"/>
        <v>65</v>
      </c>
      <c r="G215">
        <f t="shared" si="114"/>
        <v>160</v>
      </c>
      <c r="H215">
        <f aca="true" t="shared" si="115" ref="H215:H220">B215-269</f>
        <v>-123</v>
      </c>
      <c r="I215">
        <f aca="true" t="shared" si="116" ref="I215:I220">B215+C215-269</f>
        <v>-64</v>
      </c>
      <c r="J215">
        <f aca="true" t="shared" si="117" ref="J215:J220">B215+C215+D215-269</f>
        <v>-8</v>
      </c>
      <c r="K215">
        <v>0</v>
      </c>
      <c r="L215">
        <f aca="true" t="shared" si="118" ref="L215:L220">269-G215-F215-E215</f>
        <v>-5</v>
      </c>
      <c r="M215">
        <f aca="true" t="shared" si="119" ref="M215:M220">269-G215-F215</f>
        <v>44</v>
      </c>
      <c r="N215">
        <f aca="true" t="shared" si="120" ref="N215:N220">269-G215</f>
        <v>109</v>
      </c>
    </row>
    <row r="216" spans="1:14" ht="12.75">
      <c r="A216" s="2">
        <v>38143.55069444444</v>
      </c>
      <c r="B216">
        <f t="shared" si="105"/>
        <v>146</v>
      </c>
      <c r="C216">
        <f t="shared" si="106"/>
        <v>59</v>
      </c>
      <c r="D216">
        <f t="shared" si="97"/>
        <v>56</v>
      </c>
      <c r="E216">
        <f t="shared" si="98"/>
        <v>49</v>
      </c>
      <c r="F216">
        <f t="shared" si="113"/>
        <v>65</v>
      </c>
      <c r="G216">
        <f t="shared" si="114"/>
        <v>160</v>
      </c>
      <c r="H216">
        <f t="shared" si="115"/>
        <v>-123</v>
      </c>
      <c r="I216">
        <f t="shared" si="116"/>
        <v>-64</v>
      </c>
      <c r="J216">
        <f t="shared" si="117"/>
        <v>-8</v>
      </c>
      <c r="K216">
        <v>0</v>
      </c>
      <c r="L216">
        <f t="shared" si="118"/>
        <v>-5</v>
      </c>
      <c r="M216">
        <f t="shared" si="119"/>
        <v>44</v>
      </c>
      <c r="N216">
        <f t="shared" si="120"/>
        <v>109</v>
      </c>
    </row>
    <row r="217" spans="1:14" ht="12.75">
      <c r="A217" s="2">
        <v>38144.839583333334</v>
      </c>
      <c r="B217">
        <f t="shared" si="105"/>
        <v>146</v>
      </c>
      <c r="C217">
        <f>15+3+27+3</f>
        <v>48</v>
      </c>
      <c r="D217">
        <f>8+3+4+17+11+13+11</f>
        <v>67</v>
      </c>
      <c r="E217">
        <f t="shared" si="98"/>
        <v>49</v>
      </c>
      <c r="F217">
        <f t="shared" si="113"/>
        <v>65</v>
      </c>
      <c r="G217">
        <f t="shared" si="114"/>
        <v>160</v>
      </c>
      <c r="H217">
        <f t="shared" si="115"/>
        <v>-123</v>
      </c>
      <c r="I217">
        <f t="shared" si="116"/>
        <v>-75</v>
      </c>
      <c r="J217">
        <f t="shared" si="117"/>
        <v>-8</v>
      </c>
      <c r="K217">
        <v>0</v>
      </c>
      <c r="L217">
        <f t="shared" si="118"/>
        <v>-5</v>
      </c>
      <c r="M217">
        <f t="shared" si="119"/>
        <v>44</v>
      </c>
      <c r="N217">
        <f t="shared" si="120"/>
        <v>109</v>
      </c>
    </row>
    <row r="218" spans="1:14" ht="12.75">
      <c r="A218" s="2">
        <v>38145.13680555556</v>
      </c>
      <c r="B218">
        <f t="shared" si="105"/>
        <v>146</v>
      </c>
      <c r="C218">
        <f>15+3+27+3</f>
        <v>48</v>
      </c>
      <c r="D218">
        <f>8+3+4+17+11+13+11</f>
        <v>67</v>
      </c>
      <c r="E218">
        <f t="shared" si="98"/>
        <v>49</v>
      </c>
      <c r="F218">
        <f t="shared" si="113"/>
        <v>65</v>
      </c>
      <c r="G218">
        <f t="shared" si="114"/>
        <v>160</v>
      </c>
      <c r="H218">
        <f t="shared" si="115"/>
        <v>-123</v>
      </c>
      <c r="I218">
        <f t="shared" si="116"/>
        <v>-75</v>
      </c>
      <c r="J218">
        <f t="shared" si="117"/>
        <v>-8</v>
      </c>
      <c r="K218">
        <v>0</v>
      </c>
      <c r="L218">
        <f t="shared" si="118"/>
        <v>-5</v>
      </c>
      <c r="M218">
        <f t="shared" si="119"/>
        <v>44</v>
      </c>
      <c r="N218">
        <f t="shared" si="120"/>
        <v>109</v>
      </c>
    </row>
    <row r="219" spans="1:14" ht="12.75">
      <c r="A219" s="2">
        <v>38146.14722222222</v>
      </c>
      <c r="B219">
        <f t="shared" si="105"/>
        <v>146</v>
      </c>
      <c r="C219">
        <f>15+3+27+3</f>
        <v>48</v>
      </c>
      <c r="D219">
        <f>8+3+4+17+11+13+11</f>
        <v>67</v>
      </c>
      <c r="E219">
        <f t="shared" si="98"/>
        <v>49</v>
      </c>
      <c r="F219">
        <f t="shared" si="113"/>
        <v>65</v>
      </c>
      <c r="G219">
        <f t="shared" si="114"/>
        <v>160</v>
      </c>
      <c r="H219">
        <f t="shared" si="115"/>
        <v>-123</v>
      </c>
      <c r="I219">
        <f t="shared" si="116"/>
        <v>-75</v>
      </c>
      <c r="J219">
        <f t="shared" si="117"/>
        <v>-8</v>
      </c>
      <c r="K219">
        <v>0</v>
      </c>
      <c r="L219">
        <f t="shared" si="118"/>
        <v>-5</v>
      </c>
      <c r="M219">
        <f t="shared" si="119"/>
        <v>44</v>
      </c>
      <c r="N219">
        <f t="shared" si="120"/>
        <v>109</v>
      </c>
    </row>
    <row r="220" spans="1:14" ht="12.75">
      <c r="A220" s="2">
        <v>38147.17222222222</v>
      </c>
      <c r="B220">
        <f t="shared" si="105"/>
        <v>146</v>
      </c>
      <c r="C220">
        <f aca="true" t="shared" si="121" ref="C220:C227">15+3+27+3+8</f>
        <v>56</v>
      </c>
      <c r="D220">
        <f aca="true" t="shared" si="122" ref="D220:D225">3+4+17+11+13+11</f>
        <v>59</v>
      </c>
      <c r="E220">
        <f t="shared" si="98"/>
        <v>49</v>
      </c>
      <c r="F220">
        <f t="shared" si="113"/>
        <v>65</v>
      </c>
      <c r="G220">
        <f t="shared" si="114"/>
        <v>160</v>
      </c>
      <c r="H220">
        <f t="shared" si="115"/>
        <v>-123</v>
      </c>
      <c r="I220">
        <f t="shared" si="116"/>
        <v>-67</v>
      </c>
      <c r="J220">
        <f t="shared" si="117"/>
        <v>-8</v>
      </c>
      <c r="K220">
        <v>0</v>
      </c>
      <c r="L220">
        <f t="shared" si="118"/>
        <v>-5</v>
      </c>
      <c r="M220">
        <f t="shared" si="119"/>
        <v>44</v>
      </c>
      <c r="N220">
        <f t="shared" si="120"/>
        <v>109</v>
      </c>
    </row>
    <row r="221" spans="1:14" ht="12.75">
      <c r="A221" s="2">
        <v>38148.26666666667</v>
      </c>
      <c r="B221">
        <f t="shared" si="105"/>
        <v>146</v>
      </c>
      <c r="C221">
        <f t="shared" si="121"/>
        <v>56</v>
      </c>
      <c r="D221">
        <f t="shared" si="122"/>
        <v>59</v>
      </c>
      <c r="E221">
        <f t="shared" si="98"/>
        <v>49</v>
      </c>
      <c r="F221">
        <f t="shared" si="113"/>
        <v>65</v>
      </c>
      <c r="G221">
        <f t="shared" si="114"/>
        <v>160</v>
      </c>
      <c r="H221">
        <f aca="true" t="shared" si="123" ref="H221:H226">B221-269</f>
        <v>-123</v>
      </c>
      <c r="I221">
        <f aca="true" t="shared" si="124" ref="I221:I226">B221+C221-269</f>
        <v>-67</v>
      </c>
      <c r="J221">
        <f aca="true" t="shared" si="125" ref="J221:J226">B221+C221+D221-269</f>
        <v>-8</v>
      </c>
      <c r="K221">
        <v>0</v>
      </c>
      <c r="L221">
        <f aca="true" t="shared" si="126" ref="L221:L226">269-G221-F221-E221</f>
        <v>-5</v>
      </c>
      <c r="M221">
        <f aca="true" t="shared" si="127" ref="M221:M226">269-G221-F221</f>
        <v>44</v>
      </c>
      <c r="N221">
        <f aca="true" t="shared" si="128" ref="N221:N226">269-G221</f>
        <v>109</v>
      </c>
    </row>
    <row r="222" spans="1:14" ht="12.75">
      <c r="A222" s="2">
        <v>38149.60138888889</v>
      </c>
      <c r="B222">
        <f t="shared" si="105"/>
        <v>146</v>
      </c>
      <c r="C222">
        <f t="shared" si="121"/>
        <v>56</v>
      </c>
      <c r="D222">
        <f t="shared" si="122"/>
        <v>59</v>
      </c>
      <c r="E222">
        <f t="shared" si="98"/>
        <v>49</v>
      </c>
      <c r="F222">
        <f t="shared" si="113"/>
        <v>65</v>
      </c>
      <c r="G222">
        <f t="shared" si="114"/>
        <v>160</v>
      </c>
      <c r="H222">
        <f t="shared" si="123"/>
        <v>-123</v>
      </c>
      <c r="I222">
        <f t="shared" si="124"/>
        <v>-67</v>
      </c>
      <c r="J222">
        <f t="shared" si="125"/>
        <v>-8</v>
      </c>
      <c r="K222">
        <v>0</v>
      </c>
      <c r="L222">
        <f t="shared" si="126"/>
        <v>-5</v>
      </c>
      <c r="M222">
        <f t="shared" si="127"/>
        <v>44</v>
      </c>
      <c r="N222">
        <f t="shared" si="128"/>
        <v>109</v>
      </c>
    </row>
    <row r="223" spans="1:14" ht="12.75">
      <c r="A223" s="2">
        <v>38150.555555555555</v>
      </c>
      <c r="B223">
        <f t="shared" si="105"/>
        <v>146</v>
      </c>
      <c r="C223">
        <f t="shared" si="121"/>
        <v>56</v>
      </c>
      <c r="D223">
        <f t="shared" si="122"/>
        <v>59</v>
      </c>
      <c r="E223">
        <f t="shared" si="98"/>
        <v>49</v>
      </c>
      <c r="F223">
        <f>7+3+7+21</f>
        <v>38</v>
      </c>
      <c r="G223">
        <f>55+7+4+4+21+4+10+3+10+31+11+12+15</f>
        <v>187</v>
      </c>
      <c r="H223">
        <f t="shared" si="123"/>
        <v>-123</v>
      </c>
      <c r="I223">
        <f t="shared" si="124"/>
        <v>-67</v>
      </c>
      <c r="J223">
        <f t="shared" si="125"/>
        <v>-8</v>
      </c>
      <c r="K223">
        <v>0</v>
      </c>
      <c r="L223">
        <f t="shared" si="126"/>
        <v>-5</v>
      </c>
      <c r="M223">
        <f t="shared" si="127"/>
        <v>44</v>
      </c>
      <c r="N223">
        <f t="shared" si="128"/>
        <v>82</v>
      </c>
    </row>
    <row r="224" spans="1:14" ht="12.75">
      <c r="A224" s="2">
        <v>38151.92986111111</v>
      </c>
      <c r="B224">
        <f t="shared" si="105"/>
        <v>146</v>
      </c>
      <c r="C224">
        <f t="shared" si="121"/>
        <v>56</v>
      </c>
      <c r="D224">
        <f t="shared" si="122"/>
        <v>59</v>
      </c>
      <c r="E224">
        <f t="shared" si="98"/>
        <v>49</v>
      </c>
      <c r="F224">
        <f>7+3+7+21</f>
        <v>38</v>
      </c>
      <c r="G224">
        <f>55+7+4+4+21+4+10+3+10+31+11+12+15</f>
        <v>187</v>
      </c>
      <c r="H224">
        <f t="shared" si="123"/>
        <v>-123</v>
      </c>
      <c r="I224">
        <f t="shared" si="124"/>
        <v>-67</v>
      </c>
      <c r="J224">
        <f t="shared" si="125"/>
        <v>-8</v>
      </c>
      <c r="K224">
        <v>0</v>
      </c>
      <c r="L224">
        <f t="shared" si="126"/>
        <v>-5</v>
      </c>
      <c r="M224">
        <f t="shared" si="127"/>
        <v>44</v>
      </c>
      <c r="N224">
        <f t="shared" si="128"/>
        <v>82</v>
      </c>
    </row>
    <row r="225" spans="1:14" ht="12.75">
      <c r="A225" s="2">
        <v>38152.90625</v>
      </c>
      <c r="B225">
        <f t="shared" si="105"/>
        <v>146</v>
      </c>
      <c r="C225">
        <f t="shared" si="121"/>
        <v>56</v>
      </c>
      <c r="D225">
        <f t="shared" si="122"/>
        <v>59</v>
      </c>
      <c r="E225">
        <f t="shared" si="98"/>
        <v>49</v>
      </c>
      <c r="F225">
        <f>7+3+7+21</f>
        <v>38</v>
      </c>
      <c r="G225">
        <f>55+7+4+4+21+4+10+3+10+31+11+12+15</f>
        <v>187</v>
      </c>
      <c r="H225">
        <f t="shared" si="123"/>
        <v>-123</v>
      </c>
      <c r="I225">
        <f t="shared" si="124"/>
        <v>-67</v>
      </c>
      <c r="J225">
        <f t="shared" si="125"/>
        <v>-8</v>
      </c>
      <c r="K225">
        <v>0</v>
      </c>
      <c r="L225">
        <f t="shared" si="126"/>
        <v>-5</v>
      </c>
      <c r="M225">
        <f t="shared" si="127"/>
        <v>44</v>
      </c>
      <c r="N225">
        <f t="shared" si="128"/>
        <v>82</v>
      </c>
    </row>
    <row r="226" spans="1:14" ht="12.75">
      <c r="A226" s="2">
        <v>38153.66111111111</v>
      </c>
      <c r="B226">
        <f t="shared" si="105"/>
        <v>146</v>
      </c>
      <c r="C226">
        <f t="shared" si="121"/>
        <v>56</v>
      </c>
      <c r="D226">
        <f>3+4+17+11+13+11+5</f>
        <v>64</v>
      </c>
      <c r="E226">
        <f>5+10+9+20</f>
        <v>44</v>
      </c>
      <c r="F226">
        <f>7+3+7+21</f>
        <v>38</v>
      </c>
      <c r="G226">
        <f>55+7+4+4+21+4+10+3+10+31+11+12+15</f>
        <v>187</v>
      </c>
      <c r="H226">
        <f t="shared" si="123"/>
        <v>-123</v>
      </c>
      <c r="I226">
        <f t="shared" si="124"/>
        <v>-67</v>
      </c>
      <c r="J226">
        <f t="shared" si="125"/>
        <v>-3</v>
      </c>
      <c r="K226">
        <v>0</v>
      </c>
      <c r="L226">
        <f t="shared" si="126"/>
        <v>0</v>
      </c>
      <c r="M226">
        <f t="shared" si="127"/>
        <v>44</v>
      </c>
      <c r="N226">
        <f t="shared" si="128"/>
        <v>82</v>
      </c>
    </row>
    <row r="227" spans="1:14" ht="12.75">
      <c r="A227" s="2">
        <v>38154.59652777778</v>
      </c>
      <c r="B227">
        <f t="shared" si="105"/>
        <v>146</v>
      </c>
      <c r="C227">
        <f t="shared" si="121"/>
        <v>56</v>
      </c>
      <c r="D227">
        <f>3+4+17+11+13+11+5</f>
        <v>64</v>
      </c>
      <c r="E227">
        <f>5+10+9+20</f>
        <v>44</v>
      </c>
      <c r="F227">
        <f>7+3+7+21</f>
        <v>38</v>
      </c>
      <c r="G227">
        <f>55+7+4+4+21+4+10+3+10+31+11+12+15</f>
        <v>187</v>
      </c>
      <c r="H227">
        <f aca="true" t="shared" si="129" ref="H227:H232">B227-269</f>
        <v>-123</v>
      </c>
      <c r="I227">
        <f aca="true" t="shared" si="130" ref="I227:I232">B227+C227-269</f>
        <v>-67</v>
      </c>
      <c r="J227">
        <f aca="true" t="shared" si="131" ref="J227:J232">B227+C227+D227-269</f>
        <v>-3</v>
      </c>
      <c r="K227">
        <v>0</v>
      </c>
      <c r="L227">
        <f aca="true" t="shared" si="132" ref="L227:L232">269-G227-F227-E227</f>
        <v>0</v>
      </c>
      <c r="M227">
        <f aca="true" t="shared" si="133" ref="M227:M232">269-G227-F227</f>
        <v>44</v>
      </c>
      <c r="N227">
        <f aca="true" t="shared" si="134" ref="N227:N232">269-G227</f>
        <v>82</v>
      </c>
    </row>
    <row r="228" spans="1:14" ht="12.75">
      <c r="A228" s="2">
        <v>38155.62291666667</v>
      </c>
      <c r="B228">
        <f t="shared" si="105"/>
        <v>146</v>
      </c>
      <c r="C228">
        <f>3+27+3+8</f>
        <v>41</v>
      </c>
      <c r="D228">
        <f>3+4+17+11+13+11+5+15</f>
        <v>79</v>
      </c>
      <c r="E228">
        <f>5+10+9+20</f>
        <v>44</v>
      </c>
      <c r="F228">
        <f>7+3+7+21+10</f>
        <v>48</v>
      </c>
      <c r="G228">
        <f aca="true" t="shared" si="135" ref="G228:G236">55+7+4+4+21+4+10+3+31+11+12+15</f>
        <v>177</v>
      </c>
      <c r="H228">
        <f t="shared" si="129"/>
        <v>-123</v>
      </c>
      <c r="I228">
        <f t="shared" si="130"/>
        <v>-82</v>
      </c>
      <c r="J228">
        <f t="shared" si="131"/>
        <v>-3</v>
      </c>
      <c r="K228">
        <v>0</v>
      </c>
      <c r="L228">
        <f t="shared" si="132"/>
        <v>0</v>
      </c>
      <c r="M228">
        <f t="shared" si="133"/>
        <v>44</v>
      </c>
      <c r="N228">
        <f t="shared" si="134"/>
        <v>92</v>
      </c>
    </row>
    <row r="229" spans="1:14" ht="12.75">
      <c r="A229" s="2">
        <v>38156.260416666664</v>
      </c>
      <c r="B229">
        <f t="shared" si="105"/>
        <v>146</v>
      </c>
      <c r="C229">
        <f>3+3+8</f>
        <v>14</v>
      </c>
      <c r="D229">
        <f>3+4+17+11+13+11+5+15+27</f>
        <v>106</v>
      </c>
      <c r="E229">
        <f>5+9+20</f>
        <v>34</v>
      </c>
      <c r="F229">
        <f aca="true" t="shared" si="136" ref="F229:F236">7+3+7+21+10+10</f>
        <v>58</v>
      </c>
      <c r="G229">
        <f t="shared" si="135"/>
        <v>177</v>
      </c>
      <c r="H229">
        <f t="shared" si="129"/>
        <v>-123</v>
      </c>
      <c r="I229">
        <f t="shared" si="130"/>
        <v>-109</v>
      </c>
      <c r="J229">
        <f t="shared" si="131"/>
        <v>-3</v>
      </c>
      <c r="K229">
        <v>0</v>
      </c>
      <c r="L229">
        <f t="shared" si="132"/>
        <v>0</v>
      </c>
      <c r="M229">
        <f t="shared" si="133"/>
        <v>34</v>
      </c>
      <c r="N229">
        <f t="shared" si="134"/>
        <v>92</v>
      </c>
    </row>
    <row r="230" spans="1:14" ht="12.75">
      <c r="A230" s="2">
        <v>38157.26388888889</v>
      </c>
      <c r="B230">
        <f aca="true" t="shared" si="137" ref="B230:B236">11+8+6+9+10+6+4+9+6+7+5+5+3+3+5+34</f>
        <v>131</v>
      </c>
      <c r="C230">
        <f aca="true" t="shared" si="138" ref="C230:C236">3+3+8+15</f>
        <v>29</v>
      </c>
      <c r="D230">
        <f>3+4+17+11+13+11+5+15+27</f>
        <v>106</v>
      </c>
      <c r="E230">
        <f>5+9+20</f>
        <v>34</v>
      </c>
      <c r="F230">
        <f t="shared" si="136"/>
        <v>58</v>
      </c>
      <c r="G230">
        <f t="shared" si="135"/>
        <v>177</v>
      </c>
      <c r="H230">
        <f t="shared" si="129"/>
        <v>-138</v>
      </c>
      <c r="I230">
        <f t="shared" si="130"/>
        <v>-109</v>
      </c>
      <c r="J230">
        <f t="shared" si="131"/>
        <v>-3</v>
      </c>
      <c r="K230">
        <v>0</v>
      </c>
      <c r="L230">
        <f t="shared" si="132"/>
        <v>0</v>
      </c>
      <c r="M230">
        <f t="shared" si="133"/>
        <v>34</v>
      </c>
      <c r="N230">
        <f t="shared" si="134"/>
        <v>92</v>
      </c>
    </row>
    <row r="231" spans="1:14" ht="12.75">
      <c r="A231" s="2">
        <v>38158.270833333336</v>
      </c>
      <c r="B231">
        <f t="shared" si="137"/>
        <v>131</v>
      </c>
      <c r="C231">
        <f t="shared" si="138"/>
        <v>29</v>
      </c>
      <c r="D231">
        <f>3+17+11+13+11+5+15+27</f>
        <v>102</v>
      </c>
      <c r="E231">
        <f>5+9+20+4</f>
        <v>38</v>
      </c>
      <c r="F231">
        <f t="shared" si="136"/>
        <v>58</v>
      </c>
      <c r="G231">
        <f t="shared" si="135"/>
        <v>177</v>
      </c>
      <c r="H231">
        <f t="shared" si="129"/>
        <v>-138</v>
      </c>
      <c r="I231">
        <f t="shared" si="130"/>
        <v>-109</v>
      </c>
      <c r="J231">
        <f t="shared" si="131"/>
        <v>-7</v>
      </c>
      <c r="K231">
        <v>0</v>
      </c>
      <c r="L231">
        <f t="shared" si="132"/>
        <v>-4</v>
      </c>
      <c r="M231">
        <f t="shared" si="133"/>
        <v>34</v>
      </c>
      <c r="N231">
        <f t="shared" si="134"/>
        <v>92</v>
      </c>
    </row>
    <row r="232" spans="1:14" ht="12.75">
      <c r="A232" s="2">
        <v>38159.82708333333</v>
      </c>
      <c r="B232">
        <f t="shared" si="137"/>
        <v>131</v>
      </c>
      <c r="C232">
        <f t="shared" si="138"/>
        <v>29</v>
      </c>
      <c r="D232">
        <f>3+17+11+13+11+5+15+27</f>
        <v>102</v>
      </c>
      <c r="E232">
        <f>5+9+20+4</f>
        <v>38</v>
      </c>
      <c r="F232">
        <f t="shared" si="136"/>
        <v>58</v>
      </c>
      <c r="G232">
        <f t="shared" si="135"/>
        <v>177</v>
      </c>
      <c r="H232">
        <f t="shared" si="129"/>
        <v>-138</v>
      </c>
      <c r="I232">
        <f t="shared" si="130"/>
        <v>-109</v>
      </c>
      <c r="J232">
        <f t="shared" si="131"/>
        <v>-7</v>
      </c>
      <c r="K232">
        <v>0</v>
      </c>
      <c r="L232">
        <f t="shared" si="132"/>
        <v>-4</v>
      </c>
      <c r="M232">
        <f t="shared" si="133"/>
        <v>34</v>
      </c>
      <c r="N232">
        <f t="shared" si="134"/>
        <v>92</v>
      </c>
    </row>
    <row r="233" spans="1:14" ht="12.75">
      <c r="A233" s="2">
        <v>38160.58194444444</v>
      </c>
      <c r="B233">
        <f t="shared" si="137"/>
        <v>131</v>
      </c>
      <c r="C233">
        <f t="shared" si="138"/>
        <v>29</v>
      </c>
      <c r="D233">
        <f>3+17+11+13+11+5+15+27</f>
        <v>102</v>
      </c>
      <c r="E233">
        <f>5+9+20+4</f>
        <v>38</v>
      </c>
      <c r="F233">
        <f t="shared" si="136"/>
        <v>58</v>
      </c>
      <c r="G233">
        <f t="shared" si="135"/>
        <v>177</v>
      </c>
      <c r="H233">
        <f aca="true" t="shared" si="139" ref="H233:H238">B233-269</f>
        <v>-138</v>
      </c>
      <c r="I233">
        <f aca="true" t="shared" si="140" ref="I233:I238">B233+C233-269</f>
        <v>-109</v>
      </c>
      <c r="J233">
        <f aca="true" t="shared" si="141" ref="J233:J238">B233+C233+D233-269</f>
        <v>-7</v>
      </c>
      <c r="K233">
        <v>0</v>
      </c>
      <c r="L233">
        <f aca="true" t="shared" si="142" ref="L233:L238">269-G233-F233-E233</f>
        <v>-4</v>
      </c>
      <c r="M233">
        <f aca="true" t="shared" si="143" ref="M233:M238">269-G233-F233</f>
        <v>34</v>
      </c>
      <c r="N233">
        <f aca="true" t="shared" si="144" ref="N233:N238">269-G233</f>
        <v>92</v>
      </c>
    </row>
    <row r="234" spans="1:14" ht="12.75">
      <c r="A234" s="2">
        <v>38161.29861111111</v>
      </c>
      <c r="B234">
        <f t="shared" si="137"/>
        <v>131</v>
      </c>
      <c r="C234">
        <f t="shared" si="138"/>
        <v>29</v>
      </c>
      <c r="D234">
        <f>3+17+11+13+11+5+15+27</f>
        <v>102</v>
      </c>
      <c r="E234">
        <f>5+9+20+4</f>
        <v>38</v>
      </c>
      <c r="F234">
        <f t="shared" si="136"/>
        <v>58</v>
      </c>
      <c r="G234">
        <f t="shared" si="135"/>
        <v>177</v>
      </c>
      <c r="H234">
        <f t="shared" si="139"/>
        <v>-138</v>
      </c>
      <c r="I234">
        <f t="shared" si="140"/>
        <v>-109</v>
      </c>
      <c r="J234">
        <f t="shared" si="141"/>
        <v>-7</v>
      </c>
      <c r="K234">
        <v>0</v>
      </c>
      <c r="L234">
        <f t="shared" si="142"/>
        <v>-4</v>
      </c>
      <c r="M234">
        <f t="shared" si="143"/>
        <v>34</v>
      </c>
      <c r="N234">
        <f t="shared" si="144"/>
        <v>92</v>
      </c>
    </row>
    <row r="235" spans="1:14" ht="12.75">
      <c r="A235" s="2">
        <v>38162.26666666667</v>
      </c>
      <c r="B235">
        <f t="shared" si="137"/>
        <v>131</v>
      </c>
      <c r="C235">
        <f t="shared" si="138"/>
        <v>29</v>
      </c>
      <c r="D235">
        <f aca="true" t="shared" si="145" ref="D235:D240">3+11+13+11+5+15+27</f>
        <v>85</v>
      </c>
      <c r="E235">
        <f aca="true" t="shared" si="146" ref="E235:E240">5+9+20+4+17</f>
        <v>55</v>
      </c>
      <c r="F235">
        <f t="shared" si="136"/>
        <v>58</v>
      </c>
      <c r="G235">
        <f t="shared" si="135"/>
        <v>177</v>
      </c>
      <c r="H235">
        <f t="shared" si="139"/>
        <v>-138</v>
      </c>
      <c r="I235">
        <f t="shared" si="140"/>
        <v>-109</v>
      </c>
      <c r="J235">
        <f t="shared" si="141"/>
        <v>-24</v>
      </c>
      <c r="K235">
        <v>0</v>
      </c>
      <c r="L235">
        <f t="shared" si="142"/>
        <v>-21</v>
      </c>
      <c r="M235">
        <f t="shared" si="143"/>
        <v>34</v>
      </c>
      <c r="N235">
        <f t="shared" si="144"/>
        <v>92</v>
      </c>
    </row>
    <row r="236" spans="1:14" ht="12.75">
      <c r="A236" s="2">
        <v>38163.23611111111</v>
      </c>
      <c r="B236">
        <f t="shared" si="137"/>
        <v>131</v>
      </c>
      <c r="C236">
        <f t="shared" si="138"/>
        <v>29</v>
      </c>
      <c r="D236">
        <f t="shared" si="145"/>
        <v>85</v>
      </c>
      <c r="E236">
        <f t="shared" si="146"/>
        <v>55</v>
      </c>
      <c r="F236">
        <f t="shared" si="136"/>
        <v>58</v>
      </c>
      <c r="G236">
        <f t="shared" si="135"/>
        <v>177</v>
      </c>
      <c r="H236">
        <f t="shared" si="139"/>
        <v>-138</v>
      </c>
      <c r="I236">
        <f t="shared" si="140"/>
        <v>-109</v>
      </c>
      <c r="J236">
        <f t="shared" si="141"/>
        <v>-24</v>
      </c>
      <c r="K236">
        <v>0</v>
      </c>
      <c r="L236">
        <f t="shared" si="142"/>
        <v>-21</v>
      </c>
      <c r="M236">
        <f t="shared" si="143"/>
        <v>34</v>
      </c>
      <c r="N236">
        <f t="shared" si="144"/>
        <v>92</v>
      </c>
    </row>
    <row r="237" spans="1:14" ht="12.75">
      <c r="A237" s="2">
        <v>38164.29583333333</v>
      </c>
      <c r="B237">
        <f aca="true" t="shared" si="147" ref="B237:B248">11+8+6+9+10+6+4+9+7+5+5+3+3+5+34</f>
        <v>125</v>
      </c>
      <c r="C237">
        <f aca="true" t="shared" si="148" ref="C237:C242">3+3+8+15+6</f>
        <v>35</v>
      </c>
      <c r="D237">
        <f t="shared" si="145"/>
        <v>85</v>
      </c>
      <c r="E237">
        <f t="shared" si="146"/>
        <v>55</v>
      </c>
      <c r="F237">
        <f aca="true" t="shared" si="149" ref="F237:F248">7+3+7+21+10</f>
        <v>48</v>
      </c>
      <c r="G237">
        <f aca="true" t="shared" si="150" ref="G237:G248">55+7+4+4+21+4+10+3+31+11+12+15+10</f>
        <v>187</v>
      </c>
      <c r="H237">
        <f t="shared" si="139"/>
        <v>-144</v>
      </c>
      <c r="I237">
        <f t="shared" si="140"/>
        <v>-109</v>
      </c>
      <c r="J237">
        <f t="shared" si="141"/>
        <v>-24</v>
      </c>
      <c r="K237">
        <v>0</v>
      </c>
      <c r="L237">
        <f t="shared" si="142"/>
        <v>-21</v>
      </c>
      <c r="M237">
        <f t="shared" si="143"/>
        <v>34</v>
      </c>
      <c r="N237">
        <f t="shared" si="144"/>
        <v>82</v>
      </c>
    </row>
    <row r="238" spans="1:14" ht="12.75">
      <c r="A238" s="2">
        <v>38165.885416666664</v>
      </c>
      <c r="B238">
        <f t="shared" si="147"/>
        <v>125</v>
      </c>
      <c r="C238">
        <f t="shared" si="148"/>
        <v>35</v>
      </c>
      <c r="D238">
        <f t="shared" si="145"/>
        <v>85</v>
      </c>
      <c r="E238">
        <f t="shared" si="146"/>
        <v>55</v>
      </c>
      <c r="F238">
        <f t="shared" si="149"/>
        <v>48</v>
      </c>
      <c r="G238">
        <f t="shared" si="150"/>
        <v>187</v>
      </c>
      <c r="H238">
        <f t="shared" si="139"/>
        <v>-144</v>
      </c>
      <c r="I238">
        <f t="shared" si="140"/>
        <v>-109</v>
      </c>
      <c r="J238">
        <f t="shared" si="141"/>
        <v>-24</v>
      </c>
      <c r="K238">
        <v>0</v>
      </c>
      <c r="L238">
        <f t="shared" si="142"/>
        <v>-21</v>
      </c>
      <c r="M238">
        <f t="shared" si="143"/>
        <v>34</v>
      </c>
      <c r="N238">
        <f t="shared" si="144"/>
        <v>82</v>
      </c>
    </row>
    <row r="239" spans="1:14" ht="12.75">
      <c r="A239" s="2">
        <v>38166.44513888889</v>
      </c>
      <c r="B239">
        <f t="shared" si="147"/>
        <v>125</v>
      </c>
      <c r="C239">
        <f t="shared" si="148"/>
        <v>35</v>
      </c>
      <c r="D239">
        <f t="shared" si="145"/>
        <v>85</v>
      </c>
      <c r="E239">
        <f t="shared" si="146"/>
        <v>55</v>
      </c>
      <c r="F239">
        <f t="shared" si="149"/>
        <v>48</v>
      </c>
      <c r="G239">
        <f t="shared" si="150"/>
        <v>187</v>
      </c>
      <c r="H239">
        <f aca="true" t="shared" si="151" ref="H239:H244">B239-269</f>
        <v>-144</v>
      </c>
      <c r="I239">
        <f aca="true" t="shared" si="152" ref="I239:I244">B239+C239-269</f>
        <v>-109</v>
      </c>
      <c r="J239">
        <f aca="true" t="shared" si="153" ref="J239:J244">B239+C239+D239-269</f>
        <v>-24</v>
      </c>
      <c r="K239">
        <v>0</v>
      </c>
      <c r="L239">
        <f aca="true" t="shared" si="154" ref="L239:L244">269-G239-F239-E239</f>
        <v>-21</v>
      </c>
      <c r="M239">
        <f aca="true" t="shared" si="155" ref="M239:M244">269-G239-F239</f>
        <v>34</v>
      </c>
      <c r="N239">
        <f aca="true" t="shared" si="156" ref="N239:N244">269-G239</f>
        <v>82</v>
      </c>
    </row>
    <row r="240" spans="1:14" ht="12.75">
      <c r="A240" s="2">
        <v>38167.32986111111</v>
      </c>
      <c r="B240">
        <f t="shared" si="147"/>
        <v>125</v>
      </c>
      <c r="C240">
        <f t="shared" si="148"/>
        <v>35</v>
      </c>
      <c r="D240">
        <f t="shared" si="145"/>
        <v>85</v>
      </c>
      <c r="E240">
        <f t="shared" si="146"/>
        <v>55</v>
      </c>
      <c r="F240">
        <f t="shared" si="149"/>
        <v>48</v>
      </c>
      <c r="G240">
        <f t="shared" si="150"/>
        <v>187</v>
      </c>
      <c r="H240">
        <f t="shared" si="151"/>
        <v>-144</v>
      </c>
      <c r="I240">
        <f t="shared" si="152"/>
        <v>-109</v>
      </c>
      <c r="J240">
        <f t="shared" si="153"/>
        <v>-24</v>
      </c>
      <c r="K240">
        <v>0</v>
      </c>
      <c r="L240">
        <f t="shared" si="154"/>
        <v>-21</v>
      </c>
      <c r="M240">
        <f t="shared" si="155"/>
        <v>34</v>
      </c>
      <c r="N240">
        <f t="shared" si="156"/>
        <v>82</v>
      </c>
    </row>
    <row r="241" spans="1:14" ht="12.75">
      <c r="A241" s="2">
        <v>38168.6375</v>
      </c>
      <c r="B241">
        <f t="shared" si="147"/>
        <v>125</v>
      </c>
      <c r="C241">
        <f t="shared" si="148"/>
        <v>35</v>
      </c>
      <c r="D241">
        <f>3+11+11+5+15+27</f>
        <v>72</v>
      </c>
      <c r="E241">
        <f aca="true" t="shared" si="157" ref="E241:E248">5+9+20+4+17+13</f>
        <v>68</v>
      </c>
      <c r="F241">
        <f t="shared" si="149"/>
        <v>48</v>
      </c>
      <c r="G241">
        <f t="shared" si="150"/>
        <v>187</v>
      </c>
      <c r="H241">
        <f t="shared" si="151"/>
        <v>-144</v>
      </c>
      <c r="I241">
        <f t="shared" si="152"/>
        <v>-109</v>
      </c>
      <c r="J241">
        <f t="shared" si="153"/>
        <v>-37</v>
      </c>
      <c r="K241">
        <v>0</v>
      </c>
      <c r="L241">
        <f t="shared" si="154"/>
        <v>-34</v>
      </c>
      <c r="M241">
        <f t="shared" si="155"/>
        <v>34</v>
      </c>
      <c r="N241">
        <f t="shared" si="156"/>
        <v>82</v>
      </c>
    </row>
    <row r="242" spans="1:14" ht="12.75">
      <c r="A242" s="2">
        <v>38169.57708333333</v>
      </c>
      <c r="B242">
        <f t="shared" si="147"/>
        <v>125</v>
      </c>
      <c r="C242">
        <f t="shared" si="148"/>
        <v>35</v>
      </c>
      <c r="D242">
        <f>3+11+11+5+15+27</f>
        <v>72</v>
      </c>
      <c r="E242">
        <f t="shared" si="157"/>
        <v>68</v>
      </c>
      <c r="F242">
        <f t="shared" si="149"/>
        <v>48</v>
      </c>
      <c r="G242">
        <f t="shared" si="150"/>
        <v>187</v>
      </c>
      <c r="H242">
        <f t="shared" si="151"/>
        <v>-144</v>
      </c>
      <c r="I242">
        <f t="shared" si="152"/>
        <v>-109</v>
      </c>
      <c r="J242">
        <f t="shared" si="153"/>
        <v>-37</v>
      </c>
      <c r="K242">
        <v>0</v>
      </c>
      <c r="L242">
        <f t="shared" si="154"/>
        <v>-34</v>
      </c>
      <c r="M242">
        <f t="shared" si="155"/>
        <v>34</v>
      </c>
      <c r="N242">
        <f t="shared" si="156"/>
        <v>82</v>
      </c>
    </row>
    <row r="243" spans="1:14" ht="12.75">
      <c r="A243" s="2">
        <v>38170.61041666667</v>
      </c>
      <c r="B243">
        <f t="shared" si="147"/>
        <v>125</v>
      </c>
      <c r="C243">
        <f aca="true" t="shared" si="158" ref="C243:C248">3+8+15+6</f>
        <v>32</v>
      </c>
      <c r="D243">
        <f aca="true" t="shared" si="159" ref="D243:D248">3+11+11+5+15+27+3</f>
        <v>75</v>
      </c>
      <c r="E243">
        <f t="shared" si="157"/>
        <v>68</v>
      </c>
      <c r="F243">
        <f t="shared" si="149"/>
        <v>48</v>
      </c>
      <c r="G243">
        <f t="shared" si="150"/>
        <v>187</v>
      </c>
      <c r="H243">
        <f t="shared" si="151"/>
        <v>-144</v>
      </c>
      <c r="I243">
        <f t="shared" si="152"/>
        <v>-112</v>
      </c>
      <c r="J243">
        <f t="shared" si="153"/>
        <v>-37</v>
      </c>
      <c r="K243">
        <v>0</v>
      </c>
      <c r="L243">
        <f t="shared" si="154"/>
        <v>-34</v>
      </c>
      <c r="M243">
        <f t="shared" si="155"/>
        <v>34</v>
      </c>
      <c r="N243">
        <f t="shared" si="156"/>
        <v>82</v>
      </c>
    </row>
    <row r="244" spans="1:14" ht="12.75">
      <c r="A244" s="2">
        <v>38171.822916666664</v>
      </c>
      <c r="B244">
        <f t="shared" si="147"/>
        <v>125</v>
      </c>
      <c r="C244">
        <f t="shared" si="158"/>
        <v>32</v>
      </c>
      <c r="D244">
        <f t="shared" si="159"/>
        <v>75</v>
      </c>
      <c r="E244">
        <f t="shared" si="157"/>
        <v>68</v>
      </c>
      <c r="F244">
        <f t="shared" si="149"/>
        <v>48</v>
      </c>
      <c r="G244">
        <f t="shared" si="150"/>
        <v>187</v>
      </c>
      <c r="H244">
        <f t="shared" si="151"/>
        <v>-144</v>
      </c>
      <c r="I244">
        <f t="shared" si="152"/>
        <v>-112</v>
      </c>
      <c r="J244">
        <f t="shared" si="153"/>
        <v>-37</v>
      </c>
      <c r="K244">
        <v>0</v>
      </c>
      <c r="L244">
        <f t="shared" si="154"/>
        <v>-34</v>
      </c>
      <c r="M244">
        <f t="shared" si="155"/>
        <v>34</v>
      </c>
      <c r="N244">
        <f t="shared" si="156"/>
        <v>82</v>
      </c>
    </row>
    <row r="245" spans="1:14" ht="12.75">
      <c r="A245" s="2">
        <v>38172.74097222222</v>
      </c>
      <c r="B245">
        <f t="shared" si="147"/>
        <v>125</v>
      </c>
      <c r="C245">
        <f t="shared" si="158"/>
        <v>32</v>
      </c>
      <c r="D245">
        <f t="shared" si="159"/>
        <v>75</v>
      </c>
      <c r="E245">
        <f t="shared" si="157"/>
        <v>68</v>
      </c>
      <c r="F245">
        <f t="shared" si="149"/>
        <v>48</v>
      </c>
      <c r="G245">
        <f t="shared" si="150"/>
        <v>187</v>
      </c>
      <c r="H245">
        <f aca="true" t="shared" si="160" ref="H245:H250">B245-269</f>
        <v>-144</v>
      </c>
      <c r="I245">
        <f aca="true" t="shared" si="161" ref="I245:I250">B245+C245-269</f>
        <v>-112</v>
      </c>
      <c r="J245">
        <f aca="true" t="shared" si="162" ref="J245:J250">B245+C245+D245-269</f>
        <v>-37</v>
      </c>
      <c r="K245">
        <v>0</v>
      </c>
      <c r="L245">
        <f aca="true" t="shared" si="163" ref="L245:L250">269-G245-F245-E245</f>
        <v>-34</v>
      </c>
      <c r="M245">
        <f aca="true" t="shared" si="164" ref="M245:M250">269-G245-F245</f>
        <v>34</v>
      </c>
      <c r="N245">
        <f aca="true" t="shared" si="165" ref="N245:N250">269-G245</f>
        <v>82</v>
      </c>
    </row>
    <row r="246" spans="1:14" ht="12.75">
      <c r="A246" s="2">
        <v>38173.875</v>
      </c>
      <c r="B246">
        <f t="shared" si="147"/>
        <v>125</v>
      </c>
      <c r="C246">
        <f t="shared" si="158"/>
        <v>32</v>
      </c>
      <c r="D246">
        <f t="shared" si="159"/>
        <v>75</v>
      </c>
      <c r="E246">
        <f t="shared" si="157"/>
        <v>68</v>
      </c>
      <c r="F246">
        <f t="shared" si="149"/>
        <v>48</v>
      </c>
      <c r="G246">
        <f t="shared" si="150"/>
        <v>187</v>
      </c>
      <c r="H246">
        <f t="shared" si="160"/>
        <v>-144</v>
      </c>
      <c r="I246">
        <f t="shared" si="161"/>
        <v>-112</v>
      </c>
      <c r="J246">
        <f t="shared" si="162"/>
        <v>-37</v>
      </c>
      <c r="K246">
        <v>0</v>
      </c>
      <c r="L246">
        <f t="shared" si="163"/>
        <v>-34</v>
      </c>
      <c r="M246">
        <f t="shared" si="164"/>
        <v>34</v>
      </c>
      <c r="N246">
        <f t="shared" si="165"/>
        <v>82</v>
      </c>
    </row>
    <row r="247" spans="1:14" ht="12.75">
      <c r="A247" s="2">
        <v>38174.67222222222</v>
      </c>
      <c r="B247">
        <f t="shared" si="147"/>
        <v>125</v>
      </c>
      <c r="C247">
        <f t="shared" si="158"/>
        <v>32</v>
      </c>
      <c r="D247">
        <f t="shared" si="159"/>
        <v>75</v>
      </c>
      <c r="E247">
        <f t="shared" si="157"/>
        <v>68</v>
      </c>
      <c r="F247">
        <f t="shared" si="149"/>
        <v>48</v>
      </c>
      <c r="G247">
        <f t="shared" si="150"/>
        <v>187</v>
      </c>
      <c r="H247">
        <f t="shared" si="160"/>
        <v>-144</v>
      </c>
      <c r="I247">
        <f t="shared" si="161"/>
        <v>-112</v>
      </c>
      <c r="J247">
        <f t="shared" si="162"/>
        <v>-37</v>
      </c>
      <c r="K247">
        <v>0</v>
      </c>
      <c r="L247">
        <f t="shared" si="163"/>
        <v>-34</v>
      </c>
      <c r="M247">
        <f t="shared" si="164"/>
        <v>34</v>
      </c>
      <c r="N247">
        <f t="shared" si="165"/>
        <v>82</v>
      </c>
    </row>
    <row r="248" spans="1:14" ht="12.75">
      <c r="A248" s="2">
        <v>38175.620833333334</v>
      </c>
      <c r="B248">
        <f t="shared" si="147"/>
        <v>125</v>
      </c>
      <c r="C248">
        <f t="shared" si="158"/>
        <v>32</v>
      </c>
      <c r="D248">
        <f t="shared" si="159"/>
        <v>75</v>
      </c>
      <c r="E248">
        <f t="shared" si="157"/>
        <v>68</v>
      </c>
      <c r="F248">
        <f t="shared" si="149"/>
        <v>48</v>
      </c>
      <c r="G248">
        <f t="shared" si="150"/>
        <v>187</v>
      </c>
      <c r="H248">
        <f t="shared" si="160"/>
        <v>-144</v>
      </c>
      <c r="I248">
        <f t="shared" si="161"/>
        <v>-112</v>
      </c>
      <c r="J248">
        <f t="shared" si="162"/>
        <v>-37</v>
      </c>
      <c r="K248">
        <v>0</v>
      </c>
      <c r="L248">
        <f t="shared" si="163"/>
        <v>-34</v>
      </c>
      <c r="M248">
        <f t="shared" si="164"/>
        <v>34</v>
      </c>
      <c r="N248">
        <f t="shared" si="165"/>
        <v>82</v>
      </c>
    </row>
    <row r="249" spans="1:14" ht="12.75">
      <c r="A249" s="2">
        <v>38176.7125</v>
      </c>
      <c r="B249">
        <f aca="true" t="shared" si="166" ref="B249:B254">11+8+6+9+6+4+9+7+5+5+3+3+5</f>
        <v>81</v>
      </c>
      <c r="C249">
        <f aca="true" t="shared" si="167" ref="C249:C254">3+15+6+10+27+34</f>
        <v>95</v>
      </c>
      <c r="D249">
        <f aca="true" t="shared" si="168" ref="D249:D255">3+11+11+5+15+3+8</f>
        <v>56</v>
      </c>
      <c r="E249">
        <f aca="true" t="shared" si="169" ref="E249:E264">9+20+13</f>
        <v>42</v>
      </c>
      <c r="F249">
        <f>3+21+10+17+4+5+7</f>
        <v>67</v>
      </c>
      <c r="G249">
        <f>55+7+4+4+21+4+10+3+31+11+12+15+10+7</f>
        <v>194</v>
      </c>
      <c r="H249">
        <f t="shared" si="160"/>
        <v>-188</v>
      </c>
      <c r="I249">
        <f t="shared" si="161"/>
        <v>-93</v>
      </c>
      <c r="J249">
        <f t="shared" si="162"/>
        <v>-37</v>
      </c>
      <c r="K249">
        <v>0</v>
      </c>
      <c r="L249">
        <f t="shared" si="163"/>
        <v>-34</v>
      </c>
      <c r="M249">
        <f t="shared" si="164"/>
        <v>8</v>
      </c>
      <c r="N249">
        <f t="shared" si="165"/>
        <v>75</v>
      </c>
    </row>
    <row r="250" spans="1:14" ht="12.75">
      <c r="A250" s="2">
        <v>38177.63680555556</v>
      </c>
      <c r="B250">
        <f t="shared" si="166"/>
        <v>81</v>
      </c>
      <c r="C250">
        <f t="shared" si="167"/>
        <v>95</v>
      </c>
      <c r="D250">
        <f t="shared" si="168"/>
        <v>56</v>
      </c>
      <c r="E250">
        <f t="shared" si="169"/>
        <v>42</v>
      </c>
      <c r="F250">
        <f>3+21+10+17+4+5+15+7</f>
        <v>82</v>
      </c>
      <c r="G250">
        <f>55+7+4+4+21+4+10+3+31+11+12+10+7</f>
        <v>179</v>
      </c>
      <c r="H250">
        <f t="shared" si="160"/>
        <v>-188</v>
      </c>
      <c r="I250">
        <f t="shared" si="161"/>
        <v>-93</v>
      </c>
      <c r="J250">
        <f t="shared" si="162"/>
        <v>-37</v>
      </c>
      <c r="K250">
        <v>0</v>
      </c>
      <c r="L250">
        <f t="shared" si="163"/>
        <v>-34</v>
      </c>
      <c r="M250">
        <f t="shared" si="164"/>
        <v>8</v>
      </c>
      <c r="N250">
        <f t="shared" si="165"/>
        <v>90</v>
      </c>
    </row>
    <row r="251" spans="1:14" ht="12.75">
      <c r="A251" s="2">
        <v>38178.674305555556</v>
      </c>
      <c r="B251">
        <f t="shared" si="166"/>
        <v>81</v>
      </c>
      <c r="C251">
        <f t="shared" si="167"/>
        <v>95</v>
      </c>
      <c r="D251">
        <f t="shared" si="168"/>
        <v>56</v>
      </c>
      <c r="E251">
        <f t="shared" si="169"/>
        <v>42</v>
      </c>
      <c r="F251">
        <f aca="true" t="shared" si="170" ref="F251:F256">3+21+17+4+5+15+7</f>
        <v>72</v>
      </c>
      <c r="G251">
        <f aca="true" t="shared" si="171" ref="G251:G256">55+7+4+4+21+4+10+3+31+11+12+10+7+10</f>
        <v>189</v>
      </c>
      <c r="H251">
        <f aca="true" t="shared" si="172" ref="H251:H256">B251-269</f>
        <v>-188</v>
      </c>
      <c r="I251">
        <f aca="true" t="shared" si="173" ref="I251:I256">B251+C251-269</f>
        <v>-93</v>
      </c>
      <c r="J251">
        <f aca="true" t="shared" si="174" ref="J251:J256">B251+C251+D251-269</f>
        <v>-37</v>
      </c>
      <c r="K251">
        <v>0</v>
      </c>
      <c r="L251">
        <f aca="true" t="shared" si="175" ref="L251:L256">269-G251-F251-E251</f>
        <v>-34</v>
      </c>
      <c r="M251">
        <f aca="true" t="shared" si="176" ref="M251:M256">269-G251-F251</f>
        <v>8</v>
      </c>
      <c r="N251">
        <f aca="true" t="shared" si="177" ref="N251:N256">269-G251</f>
        <v>80</v>
      </c>
    </row>
    <row r="252" spans="1:14" ht="12.75">
      <c r="A252" s="2">
        <v>38179.91736111111</v>
      </c>
      <c r="B252">
        <f t="shared" si="166"/>
        <v>81</v>
      </c>
      <c r="C252">
        <f t="shared" si="167"/>
        <v>95</v>
      </c>
      <c r="D252">
        <f t="shared" si="168"/>
        <v>56</v>
      </c>
      <c r="E252">
        <f t="shared" si="169"/>
        <v>42</v>
      </c>
      <c r="F252">
        <f t="shared" si="170"/>
        <v>72</v>
      </c>
      <c r="G252">
        <f t="shared" si="171"/>
        <v>189</v>
      </c>
      <c r="H252">
        <f t="shared" si="172"/>
        <v>-188</v>
      </c>
      <c r="I252">
        <f t="shared" si="173"/>
        <v>-93</v>
      </c>
      <c r="J252">
        <f t="shared" si="174"/>
        <v>-37</v>
      </c>
      <c r="K252">
        <v>0</v>
      </c>
      <c r="L252">
        <f t="shared" si="175"/>
        <v>-34</v>
      </c>
      <c r="M252">
        <f t="shared" si="176"/>
        <v>8</v>
      </c>
      <c r="N252">
        <f t="shared" si="177"/>
        <v>80</v>
      </c>
    </row>
    <row r="253" spans="1:14" ht="12.75">
      <c r="A253" s="2">
        <v>38180.947222222225</v>
      </c>
      <c r="B253">
        <f t="shared" si="166"/>
        <v>81</v>
      </c>
      <c r="C253">
        <f t="shared" si="167"/>
        <v>95</v>
      </c>
      <c r="D253">
        <f t="shared" si="168"/>
        <v>56</v>
      </c>
      <c r="E253">
        <f t="shared" si="169"/>
        <v>42</v>
      </c>
      <c r="F253">
        <f t="shared" si="170"/>
        <v>72</v>
      </c>
      <c r="G253">
        <f t="shared" si="171"/>
        <v>189</v>
      </c>
      <c r="H253">
        <f t="shared" si="172"/>
        <v>-188</v>
      </c>
      <c r="I253">
        <f t="shared" si="173"/>
        <v>-93</v>
      </c>
      <c r="J253">
        <f t="shared" si="174"/>
        <v>-37</v>
      </c>
      <c r="K253">
        <v>0</v>
      </c>
      <c r="L253">
        <f t="shared" si="175"/>
        <v>-34</v>
      </c>
      <c r="M253">
        <f t="shared" si="176"/>
        <v>8</v>
      </c>
      <c r="N253">
        <f t="shared" si="177"/>
        <v>80</v>
      </c>
    </row>
    <row r="254" spans="1:14" ht="12.75">
      <c r="A254" s="2">
        <v>38181.70277777778</v>
      </c>
      <c r="B254">
        <f t="shared" si="166"/>
        <v>81</v>
      </c>
      <c r="C254">
        <f t="shared" si="167"/>
        <v>95</v>
      </c>
      <c r="D254">
        <f t="shared" si="168"/>
        <v>56</v>
      </c>
      <c r="E254">
        <f t="shared" si="169"/>
        <v>42</v>
      </c>
      <c r="F254">
        <f t="shared" si="170"/>
        <v>72</v>
      </c>
      <c r="G254">
        <f t="shared" si="171"/>
        <v>189</v>
      </c>
      <c r="H254">
        <f t="shared" si="172"/>
        <v>-188</v>
      </c>
      <c r="I254">
        <f t="shared" si="173"/>
        <v>-93</v>
      </c>
      <c r="J254">
        <f t="shared" si="174"/>
        <v>-37</v>
      </c>
      <c r="K254">
        <v>0</v>
      </c>
      <c r="L254">
        <f t="shared" si="175"/>
        <v>-34</v>
      </c>
      <c r="M254">
        <f t="shared" si="176"/>
        <v>8</v>
      </c>
      <c r="N254">
        <f t="shared" si="177"/>
        <v>80</v>
      </c>
    </row>
    <row r="255" spans="1:14" ht="12.75">
      <c r="A255" s="2">
        <v>38182.6375</v>
      </c>
      <c r="B255">
        <f>11+8+6+9+6+4+9+7+5+5+3+5</f>
        <v>78</v>
      </c>
      <c r="C255">
        <f>3+15+6+10+27+34+3</f>
        <v>98</v>
      </c>
      <c r="D255">
        <f t="shared" si="168"/>
        <v>56</v>
      </c>
      <c r="E255">
        <f t="shared" si="169"/>
        <v>42</v>
      </c>
      <c r="F255">
        <f t="shared" si="170"/>
        <v>72</v>
      </c>
      <c r="G255">
        <f t="shared" si="171"/>
        <v>189</v>
      </c>
      <c r="H255">
        <f t="shared" si="172"/>
        <v>-191</v>
      </c>
      <c r="I255">
        <f t="shared" si="173"/>
        <v>-93</v>
      </c>
      <c r="J255">
        <f t="shared" si="174"/>
        <v>-37</v>
      </c>
      <c r="K255">
        <v>0</v>
      </c>
      <c r="L255">
        <f t="shared" si="175"/>
        <v>-34</v>
      </c>
      <c r="M255">
        <f t="shared" si="176"/>
        <v>8</v>
      </c>
      <c r="N255">
        <f t="shared" si="177"/>
        <v>80</v>
      </c>
    </row>
    <row r="256" spans="1:14" ht="12.75">
      <c r="A256" s="2">
        <v>38183.61319444444</v>
      </c>
      <c r="B256">
        <f>11+8+6+9+6+4+9+7+5+5+3+5</f>
        <v>78</v>
      </c>
      <c r="C256">
        <f>3+15+6+10+34+3</f>
        <v>71</v>
      </c>
      <c r="D256">
        <f aca="true" t="shared" si="178" ref="D256:D265">3+11+11+5+15+3+8+27</f>
        <v>83</v>
      </c>
      <c r="E256">
        <f t="shared" si="169"/>
        <v>42</v>
      </c>
      <c r="F256">
        <f t="shared" si="170"/>
        <v>72</v>
      </c>
      <c r="G256">
        <f t="shared" si="171"/>
        <v>189</v>
      </c>
      <c r="H256">
        <f t="shared" si="172"/>
        <v>-191</v>
      </c>
      <c r="I256">
        <f t="shared" si="173"/>
        <v>-120</v>
      </c>
      <c r="J256">
        <f t="shared" si="174"/>
        <v>-37</v>
      </c>
      <c r="K256">
        <v>0</v>
      </c>
      <c r="L256">
        <f t="shared" si="175"/>
        <v>-34</v>
      </c>
      <c r="M256">
        <f t="shared" si="176"/>
        <v>8</v>
      </c>
      <c r="N256">
        <f t="shared" si="177"/>
        <v>80</v>
      </c>
    </row>
    <row r="257" spans="1:14" ht="12.75">
      <c r="A257" s="2">
        <v>38184.63055555556</v>
      </c>
      <c r="B257">
        <f aca="true" t="shared" si="179" ref="B257:B264">11+8+6+9+6+4+9+7+5+5+3+5+6</f>
        <v>84</v>
      </c>
      <c r="C257">
        <f aca="true" t="shared" si="180" ref="C257:C264">3+15+10+34+3</f>
        <v>65</v>
      </c>
      <c r="D257">
        <f t="shared" si="178"/>
        <v>83</v>
      </c>
      <c r="E257">
        <f t="shared" si="169"/>
        <v>42</v>
      </c>
      <c r="F257">
        <f aca="true" t="shared" si="181" ref="F257:F263">3+21+17+4+5+15+7+7</f>
        <v>79</v>
      </c>
      <c r="G257">
        <f aca="true" t="shared" si="182" ref="G257:G263">55+7+4+4+21+4+10+3+31+11+12+10+10</f>
        <v>182</v>
      </c>
      <c r="H257">
        <f aca="true" t="shared" si="183" ref="H257:H262">B257-269</f>
        <v>-185</v>
      </c>
      <c r="I257">
        <f aca="true" t="shared" si="184" ref="I257:I262">B257+C257-269</f>
        <v>-120</v>
      </c>
      <c r="J257">
        <f aca="true" t="shared" si="185" ref="J257:J262">B257+C257+D257-269</f>
        <v>-37</v>
      </c>
      <c r="K257">
        <v>0</v>
      </c>
      <c r="L257">
        <f aca="true" t="shared" si="186" ref="L257:L262">269-G257-F257-E257</f>
        <v>-34</v>
      </c>
      <c r="M257">
        <f aca="true" t="shared" si="187" ref="M257:M262">269-G257-F257</f>
        <v>8</v>
      </c>
      <c r="N257">
        <f aca="true" t="shared" si="188" ref="N257:N262">269-G257</f>
        <v>87</v>
      </c>
    </row>
    <row r="258" spans="1:14" ht="12.75">
      <c r="A258" s="2">
        <v>38185.15833333333</v>
      </c>
      <c r="B258">
        <f t="shared" si="179"/>
        <v>84</v>
      </c>
      <c r="C258">
        <f t="shared" si="180"/>
        <v>65</v>
      </c>
      <c r="D258">
        <f t="shared" si="178"/>
        <v>83</v>
      </c>
      <c r="E258">
        <f t="shared" si="169"/>
        <v>42</v>
      </c>
      <c r="F258">
        <f t="shared" si="181"/>
        <v>79</v>
      </c>
      <c r="G258">
        <f t="shared" si="182"/>
        <v>182</v>
      </c>
      <c r="H258">
        <f t="shared" si="183"/>
        <v>-185</v>
      </c>
      <c r="I258">
        <f t="shared" si="184"/>
        <v>-120</v>
      </c>
      <c r="J258">
        <f t="shared" si="185"/>
        <v>-37</v>
      </c>
      <c r="K258">
        <v>0</v>
      </c>
      <c r="L258">
        <f t="shared" si="186"/>
        <v>-34</v>
      </c>
      <c r="M258">
        <f t="shared" si="187"/>
        <v>8</v>
      </c>
      <c r="N258">
        <f t="shared" si="188"/>
        <v>87</v>
      </c>
    </row>
    <row r="259" spans="1:14" ht="12.75">
      <c r="A259" s="2">
        <v>38186.220138888886</v>
      </c>
      <c r="B259">
        <f t="shared" si="179"/>
        <v>84</v>
      </c>
      <c r="C259">
        <f t="shared" si="180"/>
        <v>65</v>
      </c>
      <c r="D259">
        <f t="shared" si="178"/>
        <v>83</v>
      </c>
      <c r="E259">
        <f t="shared" si="169"/>
        <v>42</v>
      </c>
      <c r="F259">
        <f t="shared" si="181"/>
        <v>79</v>
      </c>
      <c r="G259">
        <f t="shared" si="182"/>
        <v>182</v>
      </c>
      <c r="H259">
        <f t="shared" si="183"/>
        <v>-185</v>
      </c>
      <c r="I259">
        <f t="shared" si="184"/>
        <v>-120</v>
      </c>
      <c r="J259">
        <f t="shared" si="185"/>
        <v>-37</v>
      </c>
      <c r="K259">
        <v>0</v>
      </c>
      <c r="L259">
        <f t="shared" si="186"/>
        <v>-34</v>
      </c>
      <c r="M259">
        <f t="shared" si="187"/>
        <v>8</v>
      </c>
      <c r="N259">
        <f t="shared" si="188"/>
        <v>87</v>
      </c>
    </row>
    <row r="260" spans="1:14" ht="12.75">
      <c r="A260" s="2">
        <v>38187.18819444445</v>
      </c>
      <c r="B260">
        <f t="shared" si="179"/>
        <v>84</v>
      </c>
      <c r="C260">
        <f t="shared" si="180"/>
        <v>65</v>
      </c>
      <c r="D260">
        <f t="shared" si="178"/>
        <v>83</v>
      </c>
      <c r="E260">
        <f t="shared" si="169"/>
        <v>42</v>
      </c>
      <c r="F260">
        <f t="shared" si="181"/>
        <v>79</v>
      </c>
      <c r="G260">
        <f t="shared" si="182"/>
        <v>182</v>
      </c>
      <c r="H260">
        <f t="shared" si="183"/>
        <v>-185</v>
      </c>
      <c r="I260">
        <f t="shared" si="184"/>
        <v>-120</v>
      </c>
      <c r="J260">
        <f t="shared" si="185"/>
        <v>-37</v>
      </c>
      <c r="K260">
        <v>0</v>
      </c>
      <c r="L260">
        <f t="shared" si="186"/>
        <v>-34</v>
      </c>
      <c r="M260">
        <f t="shared" si="187"/>
        <v>8</v>
      </c>
      <c r="N260">
        <f t="shared" si="188"/>
        <v>87</v>
      </c>
    </row>
    <row r="261" spans="1:14" ht="12.75">
      <c r="A261" s="2">
        <v>38188.23472222222</v>
      </c>
      <c r="B261">
        <f t="shared" si="179"/>
        <v>84</v>
      </c>
      <c r="C261">
        <f t="shared" si="180"/>
        <v>65</v>
      </c>
      <c r="D261">
        <f t="shared" si="178"/>
        <v>83</v>
      </c>
      <c r="E261">
        <f t="shared" si="169"/>
        <v>42</v>
      </c>
      <c r="F261">
        <f t="shared" si="181"/>
        <v>79</v>
      </c>
      <c r="G261">
        <f t="shared" si="182"/>
        <v>182</v>
      </c>
      <c r="H261">
        <f t="shared" si="183"/>
        <v>-185</v>
      </c>
      <c r="I261">
        <f t="shared" si="184"/>
        <v>-120</v>
      </c>
      <c r="J261">
        <f t="shared" si="185"/>
        <v>-37</v>
      </c>
      <c r="K261">
        <v>0</v>
      </c>
      <c r="L261">
        <f t="shared" si="186"/>
        <v>-34</v>
      </c>
      <c r="M261">
        <f t="shared" si="187"/>
        <v>8</v>
      </c>
      <c r="N261">
        <f t="shared" si="188"/>
        <v>87</v>
      </c>
    </row>
    <row r="262" spans="1:14" ht="12.75">
      <c r="A262" s="2">
        <v>38189.42152777778</v>
      </c>
      <c r="B262">
        <f t="shared" si="179"/>
        <v>84</v>
      </c>
      <c r="C262">
        <f t="shared" si="180"/>
        <v>65</v>
      </c>
      <c r="D262">
        <f t="shared" si="178"/>
        <v>83</v>
      </c>
      <c r="E262">
        <f t="shared" si="169"/>
        <v>42</v>
      </c>
      <c r="F262">
        <f t="shared" si="181"/>
        <v>79</v>
      </c>
      <c r="G262">
        <f t="shared" si="182"/>
        <v>182</v>
      </c>
      <c r="H262">
        <f t="shared" si="183"/>
        <v>-185</v>
      </c>
      <c r="I262">
        <f t="shared" si="184"/>
        <v>-120</v>
      </c>
      <c r="J262">
        <f t="shared" si="185"/>
        <v>-37</v>
      </c>
      <c r="K262">
        <v>0</v>
      </c>
      <c r="L262">
        <f t="shared" si="186"/>
        <v>-34</v>
      </c>
      <c r="M262">
        <f t="shared" si="187"/>
        <v>8</v>
      </c>
      <c r="N262">
        <f t="shared" si="188"/>
        <v>87</v>
      </c>
    </row>
    <row r="263" spans="1:14" ht="12.75">
      <c r="A263" s="2">
        <v>38190.592361111114</v>
      </c>
      <c r="B263">
        <f t="shared" si="179"/>
        <v>84</v>
      </c>
      <c r="C263">
        <f t="shared" si="180"/>
        <v>65</v>
      </c>
      <c r="D263">
        <f t="shared" si="178"/>
        <v>83</v>
      </c>
      <c r="E263">
        <f t="shared" si="169"/>
        <v>42</v>
      </c>
      <c r="F263">
        <f t="shared" si="181"/>
        <v>79</v>
      </c>
      <c r="G263">
        <f t="shared" si="182"/>
        <v>182</v>
      </c>
      <c r="H263">
        <f aca="true" t="shared" si="189" ref="H263:H268">B263-269</f>
        <v>-185</v>
      </c>
      <c r="I263">
        <f aca="true" t="shared" si="190" ref="I263:I268">B263+C263-269</f>
        <v>-120</v>
      </c>
      <c r="J263">
        <f aca="true" t="shared" si="191" ref="J263:J268">B263+C263+D263-269</f>
        <v>-37</v>
      </c>
      <c r="K263">
        <v>0</v>
      </c>
      <c r="L263">
        <f aca="true" t="shared" si="192" ref="L263:L268">269-G263-F263-E263</f>
        <v>-34</v>
      </c>
      <c r="M263">
        <f aca="true" t="shared" si="193" ref="M263:M268">269-G263-F263</f>
        <v>8</v>
      </c>
      <c r="N263">
        <f aca="true" t="shared" si="194" ref="N263:N268">269-G263</f>
        <v>87</v>
      </c>
    </row>
    <row r="264" spans="1:14" ht="12.75">
      <c r="A264" s="2">
        <v>38191.57986111111</v>
      </c>
      <c r="B264">
        <f t="shared" si="179"/>
        <v>84</v>
      </c>
      <c r="C264">
        <f t="shared" si="180"/>
        <v>65</v>
      </c>
      <c r="D264">
        <f t="shared" si="178"/>
        <v>83</v>
      </c>
      <c r="E264">
        <f t="shared" si="169"/>
        <v>42</v>
      </c>
      <c r="F264">
        <f>3+21+17+4+5+7+7</f>
        <v>64</v>
      </c>
      <c r="G264">
        <f aca="true" t="shared" si="195" ref="G264:G278">55+7+4+4+21+4+10+3+31+11+12+10+10+15</f>
        <v>197</v>
      </c>
      <c r="H264">
        <f t="shared" si="189"/>
        <v>-185</v>
      </c>
      <c r="I264">
        <f t="shared" si="190"/>
        <v>-120</v>
      </c>
      <c r="J264">
        <f t="shared" si="191"/>
        <v>-37</v>
      </c>
      <c r="K264">
        <v>0</v>
      </c>
      <c r="L264">
        <f t="shared" si="192"/>
        <v>-34</v>
      </c>
      <c r="M264">
        <f t="shared" si="193"/>
        <v>8</v>
      </c>
      <c r="N264">
        <f t="shared" si="194"/>
        <v>72</v>
      </c>
    </row>
    <row r="265" spans="1:14" ht="12.75">
      <c r="A265" s="2">
        <v>38192.21111111111</v>
      </c>
      <c r="B265">
        <f aca="true" t="shared" si="196" ref="B265:B293">11+8+6+9+6+4+9+7+5+5+3+5</f>
        <v>78</v>
      </c>
      <c r="C265">
        <f>3+15+10+34+3+6</f>
        <v>71</v>
      </c>
      <c r="D265">
        <f t="shared" si="178"/>
        <v>83</v>
      </c>
      <c r="E265">
        <f aca="true" t="shared" si="197" ref="E265:E279">9+20+13+4</f>
        <v>46</v>
      </c>
      <c r="F265">
        <f aca="true" t="shared" si="198" ref="F265:F278">3+21+17+5+7+7</f>
        <v>60</v>
      </c>
      <c r="G265">
        <f t="shared" si="195"/>
        <v>197</v>
      </c>
      <c r="H265">
        <f t="shared" si="189"/>
        <v>-191</v>
      </c>
      <c r="I265">
        <f t="shared" si="190"/>
        <v>-120</v>
      </c>
      <c r="J265">
        <f t="shared" si="191"/>
        <v>-37</v>
      </c>
      <c r="K265">
        <v>0</v>
      </c>
      <c r="L265">
        <f t="shared" si="192"/>
        <v>-34</v>
      </c>
      <c r="M265">
        <f t="shared" si="193"/>
        <v>12</v>
      </c>
      <c r="N265">
        <f t="shared" si="194"/>
        <v>72</v>
      </c>
    </row>
    <row r="266" spans="1:14" ht="12.75">
      <c r="A266" s="2">
        <v>38193.842361111114</v>
      </c>
      <c r="B266">
        <f t="shared" si="196"/>
        <v>78</v>
      </c>
      <c r="C266">
        <f aca="true" t="shared" si="199" ref="C266:C283">3+15+10+34+3+6+8</f>
        <v>79</v>
      </c>
      <c r="D266">
        <f aca="true" t="shared" si="200" ref="D266:D283">3+11+11+5+15+3+27</f>
        <v>75</v>
      </c>
      <c r="E266">
        <f t="shared" si="197"/>
        <v>46</v>
      </c>
      <c r="F266">
        <f t="shared" si="198"/>
        <v>60</v>
      </c>
      <c r="G266">
        <f t="shared" si="195"/>
        <v>197</v>
      </c>
      <c r="H266">
        <f t="shared" si="189"/>
        <v>-191</v>
      </c>
      <c r="I266">
        <f t="shared" si="190"/>
        <v>-112</v>
      </c>
      <c r="J266">
        <f t="shared" si="191"/>
        <v>-37</v>
      </c>
      <c r="K266">
        <v>0</v>
      </c>
      <c r="L266">
        <f t="shared" si="192"/>
        <v>-34</v>
      </c>
      <c r="M266">
        <f t="shared" si="193"/>
        <v>12</v>
      </c>
      <c r="N266">
        <f t="shared" si="194"/>
        <v>72</v>
      </c>
    </row>
    <row r="267" spans="1:14" ht="12.75">
      <c r="A267" s="2">
        <v>38194.74166666667</v>
      </c>
      <c r="B267">
        <f t="shared" si="196"/>
        <v>78</v>
      </c>
      <c r="C267">
        <f t="shared" si="199"/>
        <v>79</v>
      </c>
      <c r="D267">
        <f t="shared" si="200"/>
        <v>75</v>
      </c>
      <c r="E267">
        <f t="shared" si="197"/>
        <v>46</v>
      </c>
      <c r="F267">
        <f t="shared" si="198"/>
        <v>60</v>
      </c>
      <c r="G267">
        <f t="shared" si="195"/>
        <v>197</v>
      </c>
      <c r="H267">
        <f t="shared" si="189"/>
        <v>-191</v>
      </c>
      <c r="I267">
        <f t="shared" si="190"/>
        <v>-112</v>
      </c>
      <c r="J267">
        <f t="shared" si="191"/>
        <v>-37</v>
      </c>
      <c r="K267">
        <v>0</v>
      </c>
      <c r="L267">
        <f t="shared" si="192"/>
        <v>-34</v>
      </c>
      <c r="M267">
        <f t="shared" si="193"/>
        <v>12</v>
      </c>
      <c r="N267">
        <f t="shared" si="194"/>
        <v>72</v>
      </c>
    </row>
    <row r="268" spans="1:14" ht="12.75">
      <c r="A268" s="2">
        <v>38195.65833333333</v>
      </c>
      <c r="B268">
        <f t="shared" si="196"/>
        <v>78</v>
      </c>
      <c r="C268">
        <f t="shared" si="199"/>
        <v>79</v>
      </c>
      <c r="D268">
        <f t="shared" si="200"/>
        <v>75</v>
      </c>
      <c r="E268">
        <f t="shared" si="197"/>
        <v>46</v>
      </c>
      <c r="F268">
        <f t="shared" si="198"/>
        <v>60</v>
      </c>
      <c r="G268">
        <f t="shared" si="195"/>
        <v>197</v>
      </c>
      <c r="H268">
        <f t="shared" si="189"/>
        <v>-191</v>
      </c>
      <c r="I268">
        <f t="shared" si="190"/>
        <v>-112</v>
      </c>
      <c r="J268">
        <f t="shared" si="191"/>
        <v>-37</v>
      </c>
      <c r="K268">
        <v>0</v>
      </c>
      <c r="L268">
        <f t="shared" si="192"/>
        <v>-34</v>
      </c>
      <c r="M268">
        <f t="shared" si="193"/>
        <v>12</v>
      </c>
      <c r="N268">
        <f t="shared" si="194"/>
        <v>72</v>
      </c>
    </row>
    <row r="269" spans="1:14" ht="12.75">
      <c r="A269" s="2">
        <v>38196.69583333333</v>
      </c>
      <c r="B269">
        <f t="shared" si="196"/>
        <v>78</v>
      </c>
      <c r="C269">
        <f t="shared" si="199"/>
        <v>79</v>
      </c>
      <c r="D269">
        <f t="shared" si="200"/>
        <v>75</v>
      </c>
      <c r="E269">
        <f t="shared" si="197"/>
        <v>46</v>
      </c>
      <c r="F269">
        <f t="shared" si="198"/>
        <v>60</v>
      </c>
      <c r="G269">
        <f t="shared" si="195"/>
        <v>197</v>
      </c>
      <c r="H269">
        <f aca="true" t="shared" si="201" ref="H269:H274">B269-269</f>
        <v>-191</v>
      </c>
      <c r="I269">
        <f aca="true" t="shared" si="202" ref="I269:I274">B269+C269-269</f>
        <v>-112</v>
      </c>
      <c r="J269">
        <f aca="true" t="shared" si="203" ref="J269:J274">B269+C269+D269-269</f>
        <v>-37</v>
      </c>
      <c r="K269">
        <v>0</v>
      </c>
      <c r="L269">
        <f aca="true" t="shared" si="204" ref="L269:L274">269-G269-F269-E269</f>
        <v>-34</v>
      </c>
      <c r="M269">
        <f aca="true" t="shared" si="205" ref="M269:M274">269-G269-F269</f>
        <v>12</v>
      </c>
      <c r="N269">
        <f aca="true" t="shared" si="206" ref="N269:N274">269-G269</f>
        <v>72</v>
      </c>
    </row>
    <row r="270" spans="1:14" ht="12.75">
      <c r="A270" s="2">
        <v>38197.60277777778</v>
      </c>
      <c r="B270">
        <f t="shared" si="196"/>
        <v>78</v>
      </c>
      <c r="C270">
        <f t="shared" si="199"/>
        <v>79</v>
      </c>
      <c r="D270">
        <f t="shared" si="200"/>
        <v>75</v>
      </c>
      <c r="E270">
        <f t="shared" si="197"/>
        <v>46</v>
      </c>
      <c r="F270">
        <f t="shared" si="198"/>
        <v>60</v>
      </c>
      <c r="G270">
        <f t="shared" si="195"/>
        <v>197</v>
      </c>
      <c r="H270">
        <f t="shared" si="201"/>
        <v>-191</v>
      </c>
      <c r="I270">
        <f t="shared" si="202"/>
        <v>-112</v>
      </c>
      <c r="J270">
        <f t="shared" si="203"/>
        <v>-37</v>
      </c>
      <c r="K270">
        <v>0</v>
      </c>
      <c r="L270">
        <f t="shared" si="204"/>
        <v>-34</v>
      </c>
      <c r="M270">
        <f t="shared" si="205"/>
        <v>12</v>
      </c>
      <c r="N270">
        <f t="shared" si="206"/>
        <v>72</v>
      </c>
    </row>
    <row r="271" spans="1:14" ht="12.75">
      <c r="A271" s="2">
        <v>38198.54583333333</v>
      </c>
      <c r="B271">
        <f t="shared" si="196"/>
        <v>78</v>
      </c>
      <c r="C271">
        <f t="shared" si="199"/>
        <v>79</v>
      </c>
      <c r="D271">
        <f t="shared" si="200"/>
        <v>75</v>
      </c>
      <c r="E271">
        <f t="shared" si="197"/>
        <v>46</v>
      </c>
      <c r="F271">
        <f t="shared" si="198"/>
        <v>60</v>
      </c>
      <c r="G271">
        <f t="shared" si="195"/>
        <v>197</v>
      </c>
      <c r="H271">
        <f t="shared" si="201"/>
        <v>-191</v>
      </c>
      <c r="I271">
        <f t="shared" si="202"/>
        <v>-112</v>
      </c>
      <c r="J271">
        <f t="shared" si="203"/>
        <v>-37</v>
      </c>
      <c r="K271">
        <v>0</v>
      </c>
      <c r="L271">
        <f t="shared" si="204"/>
        <v>-34</v>
      </c>
      <c r="M271">
        <f t="shared" si="205"/>
        <v>12</v>
      </c>
      <c r="N271">
        <f t="shared" si="206"/>
        <v>72</v>
      </c>
    </row>
    <row r="272" spans="1:14" ht="12.75">
      <c r="A272" s="2">
        <v>38199.58125</v>
      </c>
      <c r="B272">
        <f t="shared" si="196"/>
        <v>78</v>
      </c>
      <c r="C272">
        <f t="shared" si="199"/>
        <v>79</v>
      </c>
      <c r="D272">
        <f t="shared" si="200"/>
        <v>75</v>
      </c>
      <c r="E272">
        <f t="shared" si="197"/>
        <v>46</v>
      </c>
      <c r="F272">
        <f t="shared" si="198"/>
        <v>60</v>
      </c>
      <c r="G272">
        <f t="shared" si="195"/>
        <v>197</v>
      </c>
      <c r="H272">
        <f t="shared" si="201"/>
        <v>-191</v>
      </c>
      <c r="I272">
        <f t="shared" si="202"/>
        <v>-112</v>
      </c>
      <c r="J272">
        <f t="shared" si="203"/>
        <v>-37</v>
      </c>
      <c r="K272">
        <v>0</v>
      </c>
      <c r="L272">
        <f t="shared" si="204"/>
        <v>-34</v>
      </c>
      <c r="M272">
        <f t="shared" si="205"/>
        <v>12</v>
      </c>
      <c r="N272">
        <f t="shared" si="206"/>
        <v>72</v>
      </c>
    </row>
    <row r="273" spans="1:14" ht="12.75">
      <c r="A273" s="2">
        <v>38200.79861111111</v>
      </c>
      <c r="B273">
        <f t="shared" si="196"/>
        <v>78</v>
      </c>
      <c r="C273">
        <f t="shared" si="199"/>
        <v>79</v>
      </c>
      <c r="D273">
        <f t="shared" si="200"/>
        <v>75</v>
      </c>
      <c r="E273">
        <f t="shared" si="197"/>
        <v>46</v>
      </c>
      <c r="F273">
        <f t="shared" si="198"/>
        <v>60</v>
      </c>
      <c r="G273">
        <f t="shared" si="195"/>
        <v>197</v>
      </c>
      <c r="H273">
        <f t="shared" si="201"/>
        <v>-191</v>
      </c>
      <c r="I273">
        <f t="shared" si="202"/>
        <v>-112</v>
      </c>
      <c r="J273">
        <f t="shared" si="203"/>
        <v>-37</v>
      </c>
      <c r="K273">
        <v>0</v>
      </c>
      <c r="L273">
        <f t="shared" si="204"/>
        <v>-34</v>
      </c>
      <c r="M273">
        <f t="shared" si="205"/>
        <v>12</v>
      </c>
      <c r="N273">
        <f t="shared" si="206"/>
        <v>72</v>
      </c>
    </row>
    <row r="274" spans="1:14" ht="12.75">
      <c r="A274" s="2">
        <v>38201.69513888889</v>
      </c>
      <c r="B274">
        <f t="shared" si="196"/>
        <v>78</v>
      </c>
      <c r="C274">
        <f t="shared" si="199"/>
        <v>79</v>
      </c>
      <c r="D274">
        <f t="shared" si="200"/>
        <v>75</v>
      </c>
      <c r="E274">
        <f t="shared" si="197"/>
        <v>46</v>
      </c>
      <c r="F274">
        <f t="shared" si="198"/>
        <v>60</v>
      </c>
      <c r="G274">
        <f t="shared" si="195"/>
        <v>197</v>
      </c>
      <c r="H274">
        <f t="shared" si="201"/>
        <v>-191</v>
      </c>
      <c r="I274">
        <f t="shared" si="202"/>
        <v>-112</v>
      </c>
      <c r="J274">
        <f t="shared" si="203"/>
        <v>-37</v>
      </c>
      <c r="K274">
        <v>0</v>
      </c>
      <c r="L274">
        <f t="shared" si="204"/>
        <v>-34</v>
      </c>
      <c r="M274">
        <f t="shared" si="205"/>
        <v>12</v>
      </c>
      <c r="N274">
        <f t="shared" si="206"/>
        <v>72</v>
      </c>
    </row>
    <row r="275" spans="1:14" ht="12.75">
      <c r="A275" s="2">
        <v>38202.71319444444</v>
      </c>
      <c r="B275">
        <f t="shared" si="196"/>
        <v>78</v>
      </c>
      <c r="C275">
        <f t="shared" si="199"/>
        <v>79</v>
      </c>
      <c r="D275">
        <f t="shared" si="200"/>
        <v>75</v>
      </c>
      <c r="E275">
        <f t="shared" si="197"/>
        <v>46</v>
      </c>
      <c r="F275">
        <f t="shared" si="198"/>
        <v>60</v>
      </c>
      <c r="G275">
        <f t="shared" si="195"/>
        <v>197</v>
      </c>
      <c r="H275">
        <f aca="true" t="shared" si="207" ref="H275:H280">B275-269</f>
        <v>-191</v>
      </c>
      <c r="I275">
        <f aca="true" t="shared" si="208" ref="I275:I280">B275+C275-269</f>
        <v>-112</v>
      </c>
      <c r="J275">
        <f aca="true" t="shared" si="209" ref="J275:J280">B275+C275+D275-269</f>
        <v>-37</v>
      </c>
      <c r="K275">
        <v>0</v>
      </c>
      <c r="L275">
        <f aca="true" t="shared" si="210" ref="L275:L280">269-G275-F275-E275</f>
        <v>-34</v>
      </c>
      <c r="M275">
        <f aca="true" t="shared" si="211" ref="M275:M280">269-G275-F275</f>
        <v>12</v>
      </c>
      <c r="N275">
        <f aca="true" t="shared" si="212" ref="N275:N280">269-G275</f>
        <v>72</v>
      </c>
    </row>
    <row r="276" spans="1:14" ht="12.75">
      <c r="A276" s="2">
        <v>38203.677083333336</v>
      </c>
      <c r="B276">
        <f t="shared" si="196"/>
        <v>78</v>
      </c>
      <c r="C276">
        <f t="shared" si="199"/>
        <v>79</v>
      </c>
      <c r="D276">
        <f t="shared" si="200"/>
        <v>75</v>
      </c>
      <c r="E276">
        <f t="shared" si="197"/>
        <v>46</v>
      </c>
      <c r="F276">
        <f t="shared" si="198"/>
        <v>60</v>
      </c>
      <c r="G276">
        <f t="shared" si="195"/>
        <v>197</v>
      </c>
      <c r="H276">
        <f t="shared" si="207"/>
        <v>-191</v>
      </c>
      <c r="I276">
        <f t="shared" si="208"/>
        <v>-112</v>
      </c>
      <c r="J276">
        <f t="shared" si="209"/>
        <v>-37</v>
      </c>
      <c r="K276">
        <v>0</v>
      </c>
      <c r="L276">
        <f t="shared" si="210"/>
        <v>-34</v>
      </c>
      <c r="M276">
        <f t="shared" si="211"/>
        <v>12</v>
      </c>
      <c r="N276">
        <f t="shared" si="212"/>
        <v>72</v>
      </c>
    </row>
    <row r="277" spans="1:14" ht="12.75">
      <c r="A277" s="2">
        <v>38204.66111111111</v>
      </c>
      <c r="B277">
        <f t="shared" si="196"/>
        <v>78</v>
      </c>
      <c r="C277">
        <f t="shared" si="199"/>
        <v>79</v>
      </c>
      <c r="D277">
        <f t="shared" si="200"/>
        <v>75</v>
      </c>
      <c r="E277">
        <f t="shared" si="197"/>
        <v>46</v>
      </c>
      <c r="F277">
        <f t="shared" si="198"/>
        <v>60</v>
      </c>
      <c r="G277">
        <f t="shared" si="195"/>
        <v>197</v>
      </c>
      <c r="H277">
        <f t="shared" si="207"/>
        <v>-191</v>
      </c>
      <c r="I277">
        <f t="shared" si="208"/>
        <v>-112</v>
      </c>
      <c r="J277">
        <f t="shared" si="209"/>
        <v>-37</v>
      </c>
      <c r="K277">
        <v>0</v>
      </c>
      <c r="L277">
        <f t="shared" si="210"/>
        <v>-34</v>
      </c>
      <c r="M277">
        <f t="shared" si="211"/>
        <v>12</v>
      </c>
      <c r="N277">
        <f t="shared" si="212"/>
        <v>72</v>
      </c>
    </row>
    <row r="278" spans="1:14" ht="12.75">
      <c r="A278" s="2">
        <v>38205.47430555556</v>
      </c>
      <c r="B278">
        <f t="shared" si="196"/>
        <v>78</v>
      </c>
      <c r="C278">
        <f t="shared" si="199"/>
        <v>79</v>
      </c>
      <c r="D278">
        <f t="shared" si="200"/>
        <v>75</v>
      </c>
      <c r="E278">
        <f t="shared" si="197"/>
        <v>46</v>
      </c>
      <c r="F278">
        <f t="shared" si="198"/>
        <v>60</v>
      </c>
      <c r="G278">
        <f t="shared" si="195"/>
        <v>197</v>
      </c>
      <c r="H278">
        <f t="shared" si="207"/>
        <v>-191</v>
      </c>
      <c r="I278">
        <f t="shared" si="208"/>
        <v>-112</v>
      </c>
      <c r="J278">
        <f t="shared" si="209"/>
        <v>-37</v>
      </c>
      <c r="K278">
        <v>0</v>
      </c>
      <c r="L278">
        <f t="shared" si="210"/>
        <v>-34</v>
      </c>
      <c r="M278">
        <f t="shared" si="211"/>
        <v>12</v>
      </c>
      <c r="N278">
        <f t="shared" si="212"/>
        <v>72</v>
      </c>
    </row>
    <row r="279" spans="1:14" ht="12.75">
      <c r="A279" s="2">
        <v>38206.62777777778</v>
      </c>
      <c r="B279">
        <f t="shared" si="196"/>
        <v>78</v>
      </c>
      <c r="C279">
        <f t="shared" si="199"/>
        <v>79</v>
      </c>
      <c r="D279">
        <f t="shared" si="200"/>
        <v>75</v>
      </c>
      <c r="E279">
        <f t="shared" si="197"/>
        <v>46</v>
      </c>
      <c r="F279">
        <f>3+21+17+5+7+7+10</f>
        <v>70</v>
      </c>
      <c r="G279">
        <f>55+7+4+4+21+4+10+3+31+11+12+10+15</f>
        <v>187</v>
      </c>
      <c r="H279">
        <f t="shared" si="207"/>
        <v>-191</v>
      </c>
      <c r="I279">
        <f t="shared" si="208"/>
        <v>-112</v>
      </c>
      <c r="J279">
        <f t="shared" si="209"/>
        <v>-37</v>
      </c>
      <c r="K279">
        <v>0</v>
      </c>
      <c r="L279">
        <f t="shared" si="210"/>
        <v>-34</v>
      </c>
      <c r="M279">
        <f t="shared" si="211"/>
        <v>12</v>
      </c>
      <c r="N279">
        <f t="shared" si="212"/>
        <v>82</v>
      </c>
    </row>
    <row r="280" spans="1:14" ht="12.75">
      <c r="A280" s="2">
        <v>38207.94930555556</v>
      </c>
      <c r="B280">
        <f t="shared" si="196"/>
        <v>78</v>
      </c>
      <c r="C280">
        <f t="shared" si="199"/>
        <v>79</v>
      </c>
      <c r="D280">
        <f t="shared" si="200"/>
        <v>75</v>
      </c>
      <c r="E280">
        <f>9+20+13+4+17</f>
        <v>63</v>
      </c>
      <c r="F280">
        <f>3+21+5+7+7+10</f>
        <v>53</v>
      </c>
      <c r="G280">
        <f>55+7+4+4+21+4+10+3+31+11+12+10+15</f>
        <v>187</v>
      </c>
      <c r="H280">
        <f t="shared" si="207"/>
        <v>-191</v>
      </c>
      <c r="I280">
        <f t="shared" si="208"/>
        <v>-112</v>
      </c>
      <c r="J280">
        <f t="shared" si="209"/>
        <v>-37</v>
      </c>
      <c r="K280">
        <v>0</v>
      </c>
      <c r="L280">
        <f t="shared" si="210"/>
        <v>-34</v>
      </c>
      <c r="M280">
        <f t="shared" si="211"/>
        <v>29</v>
      </c>
      <c r="N280">
        <f t="shared" si="212"/>
        <v>82</v>
      </c>
    </row>
    <row r="281" spans="1:14" ht="12.75">
      <c r="A281" s="2">
        <v>38208.92152777778</v>
      </c>
      <c r="B281">
        <f t="shared" si="196"/>
        <v>78</v>
      </c>
      <c r="C281">
        <f t="shared" si="199"/>
        <v>79</v>
      </c>
      <c r="D281">
        <f t="shared" si="200"/>
        <v>75</v>
      </c>
      <c r="E281">
        <f>9+20+13+4+17</f>
        <v>63</v>
      </c>
      <c r="F281">
        <f>3+21+5+7+7+10</f>
        <v>53</v>
      </c>
      <c r="G281">
        <f>55+7+4+4+21+4+10+3+31+11+12+10+15</f>
        <v>187</v>
      </c>
      <c r="H281">
        <f aca="true" t="shared" si="213" ref="H281:H286">B281-269</f>
        <v>-191</v>
      </c>
      <c r="I281">
        <f aca="true" t="shared" si="214" ref="I281:I286">B281+C281-269</f>
        <v>-112</v>
      </c>
      <c r="J281">
        <f aca="true" t="shared" si="215" ref="J281:J286">B281+C281+D281-269</f>
        <v>-37</v>
      </c>
      <c r="K281">
        <v>0</v>
      </c>
      <c r="L281">
        <f aca="true" t="shared" si="216" ref="L281:L286">269-G281-F281-E281</f>
        <v>-34</v>
      </c>
      <c r="M281">
        <f aca="true" t="shared" si="217" ref="M281:M286">269-G281-F281</f>
        <v>29</v>
      </c>
      <c r="N281">
        <f aca="true" t="shared" si="218" ref="N281:N286">269-G281</f>
        <v>82</v>
      </c>
    </row>
    <row r="282" spans="1:14" ht="12.75">
      <c r="A282" s="2">
        <v>38209.34027777778</v>
      </c>
      <c r="B282">
        <f t="shared" si="196"/>
        <v>78</v>
      </c>
      <c r="C282">
        <f t="shared" si="199"/>
        <v>79</v>
      </c>
      <c r="D282">
        <f t="shared" si="200"/>
        <v>75</v>
      </c>
      <c r="E282">
        <f>9+20+13+4+17</f>
        <v>63</v>
      </c>
      <c r="F282">
        <f>3+21+5+7+7+10</f>
        <v>53</v>
      </c>
      <c r="G282">
        <f>55+7+4+4+21+4+10+3+31+11+12+10+15</f>
        <v>187</v>
      </c>
      <c r="H282">
        <f t="shared" si="213"/>
        <v>-191</v>
      </c>
      <c r="I282">
        <f t="shared" si="214"/>
        <v>-112</v>
      </c>
      <c r="J282">
        <f t="shared" si="215"/>
        <v>-37</v>
      </c>
      <c r="K282">
        <v>0</v>
      </c>
      <c r="L282">
        <f t="shared" si="216"/>
        <v>-34</v>
      </c>
      <c r="M282">
        <f t="shared" si="217"/>
        <v>29</v>
      </c>
      <c r="N282">
        <f t="shared" si="218"/>
        <v>82</v>
      </c>
    </row>
    <row r="283" spans="1:14" ht="12.75">
      <c r="A283" s="2">
        <v>38210.592361111114</v>
      </c>
      <c r="B283">
        <f t="shared" si="196"/>
        <v>78</v>
      </c>
      <c r="C283">
        <f t="shared" si="199"/>
        <v>79</v>
      </c>
      <c r="D283">
        <f t="shared" si="200"/>
        <v>75</v>
      </c>
      <c r="E283">
        <f>9+20+13+4+17</f>
        <v>63</v>
      </c>
      <c r="F283">
        <f>3+21+5+7+7+10</f>
        <v>53</v>
      </c>
      <c r="G283">
        <f>55+7+4+4+21+4+10+3+31+11+12+10+15</f>
        <v>187</v>
      </c>
      <c r="H283">
        <f t="shared" si="213"/>
        <v>-191</v>
      </c>
      <c r="I283">
        <f t="shared" si="214"/>
        <v>-112</v>
      </c>
      <c r="J283">
        <f t="shared" si="215"/>
        <v>-37</v>
      </c>
      <c r="K283">
        <v>0</v>
      </c>
      <c r="L283">
        <f t="shared" si="216"/>
        <v>-34</v>
      </c>
      <c r="M283">
        <f t="shared" si="217"/>
        <v>29</v>
      </c>
      <c r="N283">
        <f t="shared" si="218"/>
        <v>82</v>
      </c>
    </row>
    <row r="284" spans="1:14" ht="12.75">
      <c r="A284" s="2">
        <v>38211.635416666664</v>
      </c>
      <c r="B284">
        <f t="shared" si="196"/>
        <v>78</v>
      </c>
      <c r="C284">
        <f aca="true" t="shared" si="219" ref="C284:C293">3+15+10+34+6+8</f>
        <v>76</v>
      </c>
      <c r="D284">
        <f>3+11+11+5+15+3+27+3</f>
        <v>78</v>
      </c>
      <c r="E284">
        <f>9+20+13+4+17</f>
        <v>63</v>
      </c>
      <c r="F284">
        <f aca="true" t="shared" si="220" ref="F284:F289">3+21+5+7+7+10+15</f>
        <v>68</v>
      </c>
      <c r="G284">
        <f aca="true" t="shared" si="221" ref="G284:G289">55+7+4+4+21+4+10+3+31+11+12+10</f>
        <v>172</v>
      </c>
      <c r="H284">
        <f t="shared" si="213"/>
        <v>-191</v>
      </c>
      <c r="I284">
        <f t="shared" si="214"/>
        <v>-115</v>
      </c>
      <c r="J284">
        <f t="shared" si="215"/>
        <v>-37</v>
      </c>
      <c r="K284">
        <v>0</v>
      </c>
      <c r="L284">
        <f t="shared" si="216"/>
        <v>-34</v>
      </c>
      <c r="M284">
        <f t="shared" si="217"/>
        <v>29</v>
      </c>
      <c r="N284">
        <f t="shared" si="218"/>
        <v>97</v>
      </c>
    </row>
    <row r="285" spans="1:14" ht="12.75">
      <c r="A285" s="2">
        <v>38212.62708333333</v>
      </c>
      <c r="B285">
        <f t="shared" si="196"/>
        <v>78</v>
      </c>
      <c r="C285">
        <f t="shared" si="219"/>
        <v>76</v>
      </c>
      <c r="D285">
        <f aca="true" t="shared" si="222" ref="D285:D290">3+11+11+5+15+3+27+3+13</f>
        <v>91</v>
      </c>
      <c r="E285">
        <f aca="true" t="shared" si="223" ref="E285:E290">9+20+4+17</f>
        <v>50</v>
      </c>
      <c r="F285">
        <f t="shared" si="220"/>
        <v>68</v>
      </c>
      <c r="G285">
        <f t="shared" si="221"/>
        <v>172</v>
      </c>
      <c r="H285">
        <f t="shared" si="213"/>
        <v>-191</v>
      </c>
      <c r="I285">
        <f t="shared" si="214"/>
        <v>-115</v>
      </c>
      <c r="J285">
        <f t="shared" si="215"/>
        <v>-24</v>
      </c>
      <c r="K285">
        <v>0</v>
      </c>
      <c r="L285">
        <f t="shared" si="216"/>
        <v>-21</v>
      </c>
      <c r="M285">
        <f t="shared" si="217"/>
        <v>29</v>
      </c>
      <c r="N285">
        <f t="shared" si="218"/>
        <v>97</v>
      </c>
    </row>
    <row r="286" spans="1:14" ht="12.75">
      <c r="A286" s="2">
        <v>38213.60486111111</v>
      </c>
      <c r="B286">
        <f t="shared" si="196"/>
        <v>78</v>
      </c>
      <c r="C286">
        <f t="shared" si="219"/>
        <v>76</v>
      </c>
      <c r="D286">
        <f t="shared" si="222"/>
        <v>91</v>
      </c>
      <c r="E286">
        <f t="shared" si="223"/>
        <v>50</v>
      </c>
      <c r="F286">
        <f t="shared" si="220"/>
        <v>68</v>
      </c>
      <c r="G286">
        <f t="shared" si="221"/>
        <v>172</v>
      </c>
      <c r="H286">
        <f t="shared" si="213"/>
        <v>-191</v>
      </c>
      <c r="I286">
        <f t="shared" si="214"/>
        <v>-115</v>
      </c>
      <c r="J286">
        <f t="shared" si="215"/>
        <v>-24</v>
      </c>
      <c r="K286">
        <v>0</v>
      </c>
      <c r="L286">
        <f t="shared" si="216"/>
        <v>-21</v>
      </c>
      <c r="M286">
        <f t="shared" si="217"/>
        <v>29</v>
      </c>
      <c r="N286">
        <f t="shared" si="218"/>
        <v>97</v>
      </c>
    </row>
    <row r="287" spans="1:14" ht="12.75">
      <c r="A287" s="2">
        <v>38214.87847222222</v>
      </c>
      <c r="B287">
        <f t="shared" si="196"/>
        <v>78</v>
      </c>
      <c r="C287">
        <f t="shared" si="219"/>
        <v>76</v>
      </c>
      <c r="D287">
        <f t="shared" si="222"/>
        <v>91</v>
      </c>
      <c r="E287">
        <f t="shared" si="223"/>
        <v>50</v>
      </c>
      <c r="F287">
        <f t="shared" si="220"/>
        <v>68</v>
      </c>
      <c r="G287">
        <f t="shared" si="221"/>
        <v>172</v>
      </c>
      <c r="H287">
        <f aca="true" t="shared" si="224" ref="H287:H292">B287-269</f>
        <v>-191</v>
      </c>
      <c r="I287">
        <f aca="true" t="shared" si="225" ref="I287:I292">B287+C287-269</f>
        <v>-115</v>
      </c>
      <c r="J287">
        <f aca="true" t="shared" si="226" ref="J287:J292">B287+C287+D287-269</f>
        <v>-24</v>
      </c>
      <c r="K287">
        <v>0</v>
      </c>
      <c r="L287">
        <f aca="true" t="shared" si="227" ref="L287:L292">269-G287-F287-E287</f>
        <v>-21</v>
      </c>
      <c r="M287">
        <f aca="true" t="shared" si="228" ref="M287:M292">269-G287-F287</f>
        <v>29</v>
      </c>
      <c r="N287">
        <f aca="true" t="shared" si="229" ref="N287:N292">269-G287</f>
        <v>97</v>
      </c>
    </row>
    <row r="288" spans="1:14" ht="12.75">
      <c r="A288" s="2">
        <v>38215.743055555555</v>
      </c>
      <c r="B288">
        <f t="shared" si="196"/>
        <v>78</v>
      </c>
      <c r="C288">
        <f t="shared" si="219"/>
        <v>76</v>
      </c>
      <c r="D288">
        <f t="shared" si="222"/>
        <v>91</v>
      </c>
      <c r="E288">
        <f t="shared" si="223"/>
        <v>50</v>
      </c>
      <c r="F288">
        <f t="shared" si="220"/>
        <v>68</v>
      </c>
      <c r="G288">
        <f t="shared" si="221"/>
        <v>172</v>
      </c>
      <c r="H288">
        <f t="shared" si="224"/>
        <v>-191</v>
      </c>
      <c r="I288">
        <f t="shared" si="225"/>
        <v>-115</v>
      </c>
      <c r="J288">
        <f t="shared" si="226"/>
        <v>-24</v>
      </c>
      <c r="K288">
        <v>0</v>
      </c>
      <c r="L288">
        <f t="shared" si="227"/>
        <v>-21</v>
      </c>
      <c r="M288">
        <f t="shared" si="228"/>
        <v>29</v>
      </c>
      <c r="N288">
        <f t="shared" si="229"/>
        <v>97</v>
      </c>
    </row>
    <row r="289" spans="1:14" ht="12.75">
      <c r="A289" s="2">
        <v>38216.61944444444</v>
      </c>
      <c r="B289">
        <f t="shared" si="196"/>
        <v>78</v>
      </c>
      <c r="C289">
        <f t="shared" si="219"/>
        <v>76</v>
      </c>
      <c r="D289">
        <f t="shared" si="222"/>
        <v>91</v>
      </c>
      <c r="E289">
        <f t="shared" si="223"/>
        <v>50</v>
      </c>
      <c r="F289">
        <f t="shared" si="220"/>
        <v>68</v>
      </c>
      <c r="G289">
        <f t="shared" si="221"/>
        <v>172</v>
      </c>
      <c r="H289">
        <f t="shared" si="224"/>
        <v>-191</v>
      </c>
      <c r="I289">
        <f t="shared" si="225"/>
        <v>-115</v>
      </c>
      <c r="J289">
        <f t="shared" si="226"/>
        <v>-24</v>
      </c>
      <c r="K289">
        <v>0</v>
      </c>
      <c r="L289">
        <f t="shared" si="227"/>
        <v>-21</v>
      </c>
      <c r="M289">
        <f t="shared" si="228"/>
        <v>29</v>
      </c>
      <c r="N289">
        <f t="shared" si="229"/>
        <v>97</v>
      </c>
    </row>
    <row r="290" spans="1:14" ht="12.75">
      <c r="A290" s="2">
        <v>38217.58888888889</v>
      </c>
      <c r="B290">
        <f t="shared" si="196"/>
        <v>78</v>
      </c>
      <c r="C290">
        <f t="shared" si="219"/>
        <v>76</v>
      </c>
      <c r="D290">
        <f t="shared" si="222"/>
        <v>91</v>
      </c>
      <c r="E290">
        <f t="shared" si="223"/>
        <v>50</v>
      </c>
      <c r="F290">
        <f>3+21+5+7+7+10+15+10</f>
        <v>78</v>
      </c>
      <c r="G290">
        <f aca="true" t="shared" si="230" ref="G290:G310">55+7+4+4+21+4+10+3+31+11+12</f>
        <v>162</v>
      </c>
      <c r="H290">
        <f t="shared" si="224"/>
        <v>-191</v>
      </c>
      <c r="I290">
        <f t="shared" si="225"/>
        <v>-115</v>
      </c>
      <c r="J290">
        <f t="shared" si="226"/>
        <v>-24</v>
      </c>
      <c r="K290">
        <v>0</v>
      </c>
      <c r="L290">
        <f t="shared" si="227"/>
        <v>-21</v>
      </c>
      <c r="M290">
        <f t="shared" si="228"/>
        <v>29</v>
      </c>
      <c r="N290">
        <f t="shared" si="229"/>
        <v>107</v>
      </c>
    </row>
    <row r="291" spans="1:14" ht="12.75">
      <c r="A291" s="2">
        <v>38218.60763888889</v>
      </c>
      <c r="B291">
        <f t="shared" si="196"/>
        <v>78</v>
      </c>
      <c r="C291">
        <f t="shared" si="219"/>
        <v>76</v>
      </c>
      <c r="D291">
        <f>3+11+11+5+15+3+27+3+13+20</f>
        <v>111</v>
      </c>
      <c r="E291">
        <f>9+4+17</f>
        <v>30</v>
      </c>
      <c r="F291">
        <f>3+21+5+7+7+10+15+10</f>
        <v>78</v>
      </c>
      <c r="G291">
        <f t="shared" si="230"/>
        <v>162</v>
      </c>
      <c r="H291">
        <f t="shared" si="224"/>
        <v>-191</v>
      </c>
      <c r="I291">
        <f t="shared" si="225"/>
        <v>-115</v>
      </c>
      <c r="J291">
        <f t="shared" si="226"/>
        <v>-4</v>
      </c>
      <c r="K291">
        <v>0</v>
      </c>
      <c r="L291">
        <f t="shared" si="227"/>
        <v>-1</v>
      </c>
      <c r="M291">
        <f t="shared" si="228"/>
        <v>29</v>
      </c>
      <c r="N291">
        <f t="shared" si="229"/>
        <v>107</v>
      </c>
    </row>
    <row r="292" spans="1:14" ht="12.75">
      <c r="A292" s="2">
        <v>38219.638194444444</v>
      </c>
      <c r="B292">
        <f t="shared" si="196"/>
        <v>78</v>
      </c>
      <c r="C292">
        <f t="shared" si="219"/>
        <v>76</v>
      </c>
      <c r="D292">
        <f>3+11+11+5+15+3+27+3+13+20</f>
        <v>111</v>
      </c>
      <c r="E292">
        <f>9+4+17</f>
        <v>30</v>
      </c>
      <c r="F292">
        <f>3+21+5+7+7+10+15+10</f>
        <v>78</v>
      </c>
      <c r="G292">
        <f t="shared" si="230"/>
        <v>162</v>
      </c>
      <c r="H292">
        <f t="shared" si="224"/>
        <v>-191</v>
      </c>
      <c r="I292">
        <f t="shared" si="225"/>
        <v>-115</v>
      </c>
      <c r="J292">
        <f t="shared" si="226"/>
        <v>-4</v>
      </c>
      <c r="K292">
        <v>0</v>
      </c>
      <c r="L292">
        <f t="shared" si="227"/>
        <v>-1</v>
      </c>
      <c r="M292">
        <f t="shared" si="228"/>
        <v>29</v>
      </c>
      <c r="N292">
        <f t="shared" si="229"/>
        <v>107</v>
      </c>
    </row>
    <row r="293" spans="1:14" ht="12.75">
      <c r="A293" s="2">
        <v>38220.614583333336</v>
      </c>
      <c r="B293">
        <f t="shared" si="196"/>
        <v>78</v>
      </c>
      <c r="C293">
        <f t="shared" si="219"/>
        <v>76</v>
      </c>
      <c r="D293">
        <f>3+11+11+5+15+3+27+3+13+20</f>
        <v>111</v>
      </c>
      <c r="E293">
        <f>9+4+17</f>
        <v>30</v>
      </c>
      <c r="F293">
        <f>3+21+5+7+7+10+15+10</f>
        <v>78</v>
      </c>
      <c r="G293">
        <f t="shared" si="230"/>
        <v>162</v>
      </c>
      <c r="H293">
        <f aca="true" t="shared" si="231" ref="H293:H298">B293-269</f>
        <v>-191</v>
      </c>
      <c r="I293">
        <f aca="true" t="shared" si="232" ref="I293:I298">B293+C293-269</f>
        <v>-115</v>
      </c>
      <c r="J293">
        <f aca="true" t="shared" si="233" ref="J293:J298">B293+C293+D293-269</f>
        <v>-4</v>
      </c>
      <c r="K293">
        <v>0</v>
      </c>
      <c r="L293">
        <f aca="true" t="shared" si="234" ref="L293:L298">269-G293-F293-E293</f>
        <v>-1</v>
      </c>
      <c r="M293">
        <f aca="true" t="shared" si="235" ref="M293:M298">269-G293-F293</f>
        <v>29</v>
      </c>
      <c r="N293">
        <f aca="true" t="shared" si="236" ref="N293:N298">269-G293</f>
        <v>107</v>
      </c>
    </row>
    <row r="294" spans="1:14" ht="12.75">
      <c r="A294" s="2">
        <v>38221.81875</v>
      </c>
      <c r="B294">
        <f aca="true" t="shared" si="237" ref="B294:B312">11+8+6+9+6+4+9+7+5+5+3+5+6</f>
        <v>84</v>
      </c>
      <c r="C294">
        <f aca="true" t="shared" si="238" ref="C294:C305">3+15+10+34+8</f>
        <v>70</v>
      </c>
      <c r="D294">
        <f>3+11+11+15+3+27+3+20</f>
        <v>93</v>
      </c>
      <c r="E294">
        <f>9+4+5+13</f>
        <v>31</v>
      </c>
      <c r="F294">
        <f aca="true" t="shared" si="239" ref="F294:F310">3+21+5+7+7+10+15+10+17</f>
        <v>95</v>
      </c>
      <c r="G294">
        <f t="shared" si="230"/>
        <v>162</v>
      </c>
      <c r="H294">
        <f t="shared" si="231"/>
        <v>-185</v>
      </c>
      <c r="I294">
        <f t="shared" si="232"/>
        <v>-115</v>
      </c>
      <c r="J294">
        <f t="shared" si="233"/>
        <v>-22</v>
      </c>
      <c r="K294">
        <v>0</v>
      </c>
      <c r="L294">
        <f t="shared" si="234"/>
        <v>-19</v>
      </c>
      <c r="M294">
        <f t="shared" si="235"/>
        <v>12</v>
      </c>
      <c r="N294">
        <f t="shared" si="236"/>
        <v>107</v>
      </c>
    </row>
    <row r="295" spans="1:14" ht="12.75">
      <c r="A295" s="2">
        <v>38222.82847222222</v>
      </c>
      <c r="B295">
        <f t="shared" si="237"/>
        <v>84</v>
      </c>
      <c r="C295">
        <f t="shared" si="238"/>
        <v>70</v>
      </c>
      <c r="D295">
        <f>3+11+11+15+3+27+3+20</f>
        <v>93</v>
      </c>
      <c r="E295">
        <f>9+4+5+13</f>
        <v>31</v>
      </c>
      <c r="F295">
        <f t="shared" si="239"/>
        <v>95</v>
      </c>
      <c r="G295">
        <f t="shared" si="230"/>
        <v>162</v>
      </c>
      <c r="H295">
        <f t="shared" si="231"/>
        <v>-185</v>
      </c>
      <c r="I295">
        <f t="shared" si="232"/>
        <v>-115</v>
      </c>
      <c r="J295">
        <f t="shared" si="233"/>
        <v>-22</v>
      </c>
      <c r="K295">
        <v>0</v>
      </c>
      <c r="L295">
        <f t="shared" si="234"/>
        <v>-19</v>
      </c>
      <c r="M295">
        <f t="shared" si="235"/>
        <v>12</v>
      </c>
      <c r="N295">
        <f t="shared" si="236"/>
        <v>107</v>
      </c>
    </row>
    <row r="296" spans="1:14" ht="12.75">
      <c r="A296" s="2">
        <v>38223.77847222222</v>
      </c>
      <c r="B296">
        <f t="shared" si="237"/>
        <v>84</v>
      </c>
      <c r="C296">
        <f t="shared" si="238"/>
        <v>70</v>
      </c>
      <c r="D296">
        <f aca="true" t="shared" si="240" ref="D296:D305">3+11+11+15+3+27+3+5</f>
        <v>78</v>
      </c>
      <c r="E296">
        <f aca="true" t="shared" si="241" ref="E296:E310">9+4+13+20</f>
        <v>46</v>
      </c>
      <c r="F296">
        <f t="shared" si="239"/>
        <v>95</v>
      </c>
      <c r="G296">
        <f t="shared" si="230"/>
        <v>162</v>
      </c>
      <c r="H296">
        <f t="shared" si="231"/>
        <v>-185</v>
      </c>
      <c r="I296">
        <f t="shared" si="232"/>
        <v>-115</v>
      </c>
      <c r="J296">
        <f t="shared" si="233"/>
        <v>-37</v>
      </c>
      <c r="K296">
        <v>0</v>
      </c>
      <c r="L296">
        <f t="shared" si="234"/>
        <v>-34</v>
      </c>
      <c r="M296">
        <f t="shared" si="235"/>
        <v>12</v>
      </c>
      <c r="N296">
        <f t="shared" si="236"/>
        <v>107</v>
      </c>
    </row>
    <row r="297" spans="1:14" ht="12.75">
      <c r="A297" s="2">
        <v>38224.7</v>
      </c>
      <c r="B297">
        <f t="shared" si="237"/>
        <v>84</v>
      </c>
      <c r="C297">
        <f t="shared" si="238"/>
        <v>70</v>
      </c>
      <c r="D297">
        <f t="shared" si="240"/>
        <v>78</v>
      </c>
      <c r="E297">
        <f t="shared" si="241"/>
        <v>46</v>
      </c>
      <c r="F297">
        <f t="shared" si="239"/>
        <v>95</v>
      </c>
      <c r="G297">
        <f t="shared" si="230"/>
        <v>162</v>
      </c>
      <c r="H297">
        <f t="shared" si="231"/>
        <v>-185</v>
      </c>
      <c r="I297">
        <f t="shared" si="232"/>
        <v>-115</v>
      </c>
      <c r="J297">
        <f t="shared" si="233"/>
        <v>-37</v>
      </c>
      <c r="K297">
        <v>0</v>
      </c>
      <c r="L297">
        <f t="shared" si="234"/>
        <v>-34</v>
      </c>
      <c r="M297">
        <f t="shared" si="235"/>
        <v>12</v>
      </c>
      <c r="N297">
        <f t="shared" si="236"/>
        <v>107</v>
      </c>
    </row>
    <row r="298" spans="1:14" ht="12.75">
      <c r="A298" s="2">
        <v>38225.76944444444</v>
      </c>
      <c r="B298">
        <f t="shared" si="237"/>
        <v>84</v>
      </c>
      <c r="C298">
        <f t="shared" si="238"/>
        <v>70</v>
      </c>
      <c r="D298">
        <f t="shared" si="240"/>
        <v>78</v>
      </c>
      <c r="E298">
        <f t="shared" si="241"/>
        <v>46</v>
      </c>
      <c r="F298">
        <f t="shared" si="239"/>
        <v>95</v>
      </c>
      <c r="G298">
        <f t="shared" si="230"/>
        <v>162</v>
      </c>
      <c r="H298">
        <f t="shared" si="231"/>
        <v>-185</v>
      </c>
      <c r="I298">
        <f t="shared" si="232"/>
        <v>-115</v>
      </c>
      <c r="J298">
        <f t="shared" si="233"/>
        <v>-37</v>
      </c>
      <c r="K298">
        <v>0</v>
      </c>
      <c r="L298">
        <f t="shared" si="234"/>
        <v>-34</v>
      </c>
      <c r="M298">
        <f t="shared" si="235"/>
        <v>12</v>
      </c>
      <c r="N298">
        <f t="shared" si="236"/>
        <v>107</v>
      </c>
    </row>
    <row r="299" spans="1:14" ht="12.75">
      <c r="A299" s="2">
        <v>38226.947222222225</v>
      </c>
      <c r="B299">
        <f t="shared" si="237"/>
        <v>84</v>
      </c>
      <c r="C299">
        <f t="shared" si="238"/>
        <v>70</v>
      </c>
      <c r="D299">
        <f t="shared" si="240"/>
        <v>78</v>
      </c>
      <c r="E299">
        <f t="shared" si="241"/>
        <v>46</v>
      </c>
      <c r="F299">
        <f t="shared" si="239"/>
        <v>95</v>
      </c>
      <c r="G299">
        <f t="shared" si="230"/>
        <v>162</v>
      </c>
      <c r="H299">
        <f aca="true" t="shared" si="242" ref="H299:H304">B299-269</f>
        <v>-185</v>
      </c>
      <c r="I299">
        <f aca="true" t="shared" si="243" ref="I299:I304">B299+C299-269</f>
        <v>-115</v>
      </c>
      <c r="J299">
        <f aca="true" t="shared" si="244" ref="J299:J304">B299+C299+D299-269</f>
        <v>-37</v>
      </c>
      <c r="K299">
        <v>0</v>
      </c>
      <c r="L299">
        <f aca="true" t="shared" si="245" ref="L299:L304">269-G299-F299-E299</f>
        <v>-34</v>
      </c>
      <c r="M299">
        <f aca="true" t="shared" si="246" ref="M299:M304">269-G299-F299</f>
        <v>12</v>
      </c>
      <c r="N299">
        <f aca="true" t="shared" si="247" ref="N299:N304">269-G299</f>
        <v>107</v>
      </c>
    </row>
    <row r="300" spans="1:14" ht="12.75">
      <c r="A300" s="2">
        <v>38227.623611111114</v>
      </c>
      <c r="B300">
        <f t="shared" si="237"/>
        <v>84</v>
      </c>
      <c r="C300">
        <f t="shared" si="238"/>
        <v>70</v>
      </c>
      <c r="D300">
        <f t="shared" si="240"/>
        <v>78</v>
      </c>
      <c r="E300">
        <f t="shared" si="241"/>
        <v>46</v>
      </c>
      <c r="F300">
        <f t="shared" si="239"/>
        <v>95</v>
      </c>
      <c r="G300">
        <f t="shared" si="230"/>
        <v>162</v>
      </c>
      <c r="H300">
        <f t="shared" si="242"/>
        <v>-185</v>
      </c>
      <c r="I300">
        <f t="shared" si="243"/>
        <v>-115</v>
      </c>
      <c r="J300">
        <f t="shared" si="244"/>
        <v>-37</v>
      </c>
      <c r="K300">
        <v>0</v>
      </c>
      <c r="L300">
        <f t="shared" si="245"/>
        <v>-34</v>
      </c>
      <c r="M300">
        <f t="shared" si="246"/>
        <v>12</v>
      </c>
      <c r="N300">
        <f t="shared" si="247"/>
        <v>107</v>
      </c>
    </row>
    <row r="301" spans="1:14" ht="12.75">
      <c r="A301" s="2">
        <v>38228.717361111114</v>
      </c>
      <c r="B301">
        <f t="shared" si="237"/>
        <v>84</v>
      </c>
      <c r="C301">
        <f t="shared" si="238"/>
        <v>70</v>
      </c>
      <c r="D301">
        <f t="shared" si="240"/>
        <v>78</v>
      </c>
      <c r="E301">
        <f t="shared" si="241"/>
        <v>46</v>
      </c>
      <c r="F301">
        <f t="shared" si="239"/>
        <v>95</v>
      </c>
      <c r="G301">
        <f t="shared" si="230"/>
        <v>162</v>
      </c>
      <c r="H301">
        <f t="shared" si="242"/>
        <v>-185</v>
      </c>
      <c r="I301">
        <f t="shared" si="243"/>
        <v>-115</v>
      </c>
      <c r="J301">
        <f t="shared" si="244"/>
        <v>-37</v>
      </c>
      <c r="K301">
        <v>0</v>
      </c>
      <c r="L301">
        <f t="shared" si="245"/>
        <v>-34</v>
      </c>
      <c r="M301">
        <f t="shared" si="246"/>
        <v>12</v>
      </c>
      <c r="N301">
        <f t="shared" si="247"/>
        <v>107</v>
      </c>
    </row>
    <row r="302" spans="1:14" ht="12.75">
      <c r="A302" s="2">
        <v>38229.955555555556</v>
      </c>
      <c r="B302">
        <f t="shared" si="237"/>
        <v>84</v>
      </c>
      <c r="C302">
        <f t="shared" si="238"/>
        <v>70</v>
      </c>
      <c r="D302">
        <f t="shared" si="240"/>
        <v>78</v>
      </c>
      <c r="E302">
        <f t="shared" si="241"/>
        <v>46</v>
      </c>
      <c r="F302">
        <f t="shared" si="239"/>
        <v>95</v>
      </c>
      <c r="G302">
        <f t="shared" si="230"/>
        <v>162</v>
      </c>
      <c r="H302">
        <f t="shared" si="242"/>
        <v>-185</v>
      </c>
      <c r="I302">
        <f t="shared" si="243"/>
        <v>-115</v>
      </c>
      <c r="J302">
        <f t="shared" si="244"/>
        <v>-37</v>
      </c>
      <c r="K302">
        <v>0</v>
      </c>
      <c r="L302">
        <f t="shared" si="245"/>
        <v>-34</v>
      </c>
      <c r="M302">
        <f t="shared" si="246"/>
        <v>12</v>
      </c>
      <c r="N302">
        <f t="shared" si="247"/>
        <v>107</v>
      </c>
    </row>
    <row r="303" spans="1:14" ht="12.75">
      <c r="A303" s="2">
        <v>38230.95416666667</v>
      </c>
      <c r="B303">
        <f t="shared" si="237"/>
        <v>84</v>
      </c>
      <c r="C303">
        <f t="shared" si="238"/>
        <v>70</v>
      </c>
      <c r="D303">
        <f t="shared" si="240"/>
        <v>78</v>
      </c>
      <c r="E303">
        <f t="shared" si="241"/>
        <v>46</v>
      </c>
      <c r="F303">
        <f t="shared" si="239"/>
        <v>95</v>
      </c>
      <c r="G303">
        <f t="shared" si="230"/>
        <v>162</v>
      </c>
      <c r="H303">
        <f t="shared" si="242"/>
        <v>-185</v>
      </c>
      <c r="I303">
        <f t="shared" si="243"/>
        <v>-115</v>
      </c>
      <c r="J303">
        <f t="shared" si="244"/>
        <v>-37</v>
      </c>
      <c r="K303">
        <v>0</v>
      </c>
      <c r="L303">
        <f t="shared" si="245"/>
        <v>-34</v>
      </c>
      <c r="M303">
        <f t="shared" si="246"/>
        <v>12</v>
      </c>
      <c r="N303">
        <f t="shared" si="247"/>
        <v>107</v>
      </c>
    </row>
    <row r="304" spans="1:14" ht="12.75">
      <c r="A304" s="2">
        <v>38231.868055555555</v>
      </c>
      <c r="B304">
        <f t="shared" si="237"/>
        <v>84</v>
      </c>
      <c r="C304">
        <f t="shared" si="238"/>
        <v>70</v>
      </c>
      <c r="D304">
        <f t="shared" si="240"/>
        <v>78</v>
      </c>
      <c r="E304">
        <f t="shared" si="241"/>
        <v>46</v>
      </c>
      <c r="F304">
        <f t="shared" si="239"/>
        <v>95</v>
      </c>
      <c r="G304">
        <f t="shared" si="230"/>
        <v>162</v>
      </c>
      <c r="H304">
        <f t="shared" si="242"/>
        <v>-185</v>
      </c>
      <c r="I304">
        <f t="shared" si="243"/>
        <v>-115</v>
      </c>
      <c r="J304">
        <f t="shared" si="244"/>
        <v>-37</v>
      </c>
      <c r="K304">
        <v>0</v>
      </c>
      <c r="L304">
        <f t="shared" si="245"/>
        <v>-34</v>
      </c>
      <c r="M304">
        <f t="shared" si="246"/>
        <v>12</v>
      </c>
      <c r="N304">
        <f t="shared" si="247"/>
        <v>107</v>
      </c>
    </row>
    <row r="305" spans="1:14" ht="12.75">
      <c r="A305" s="2">
        <v>38232.81180555555</v>
      </c>
      <c r="B305">
        <f t="shared" si="237"/>
        <v>84</v>
      </c>
      <c r="C305">
        <f t="shared" si="238"/>
        <v>70</v>
      </c>
      <c r="D305">
        <f t="shared" si="240"/>
        <v>78</v>
      </c>
      <c r="E305">
        <f t="shared" si="241"/>
        <v>46</v>
      </c>
      <c r="F305">
        <f t="shared" si="239"/>
        <v>95</v>
      </c>
      <c r="G305">
        <f t="shared" si="230"/>
        <v>162</v>
      </c>
      <c r="H305">
        <f aca="true" t="shared" si="248" ref="H305:H310">B305-269</f>
        <v>-185</v>
      </c>
      <c r="I305">
        <f aca="true" t="shared" si="249" ref="I305:I310">B305+C305-269</f>
        <v>-115</v>
      </c>
      <c r="J305">
        <f aca="true" t="shared" si="250" ref="J305:J310">B305+C305+D305-269</f>
        <v>-37</v>
      </c>
      <c r="K305">
        <v>0</v>
      </c>
      <c r="L305">
        <f aca="true" t="shared" si="251" ref="L305:L310">269-G305-F305-E305</f>
        <v>-34</v>
      </c>
      <c r="M305">
        <f aca="true" t="shared" si="252" ref="M305:M310">269-G305-F305</f>
        <v>12</v>
      </c>
      <c r="N305">
        <f aca="true" t="shared" si="253" ref="N305:N310">269-G305</f>
        <v>107</v>
      </c>
    </row>
    <row r="306" spans="1:14" ht="12.75">
      <c r="A306" s="2">
        <v>38233.96666666667</v>
      </c>
      <c r="B306">
        <f t="shared" si="237"/>
        <v>84</v>
      </c>
      <c r="C306">
        <f aca="true" t="shared" si="254" ref="C306:C312">3+15+10+34+8+3</f>
        <v>73</v>
      </c>
      <c r="D306">
        <f>3+11+11+15+3+27+5</f>
        <v>75</v>
      </c>
      <c r="E306">
        <f t="shared" si="241"/>
        <v>46</v>
      </c>
      <c r="F306">
        <f t="shared" si="239"/>
        <v>95</v>
      </c>
      <c r="G306">
        <f t="shared" si="230"/>
        <v>162</v>
      </c>
      <c r="H306">
        <f t="shared" si="248"/>
        <v>-185</v>
      </c>
      <c r="I306">
        <f t="shared" si="249"/>
        <v>-112</v>
      </c>
      <c r="J306">
        <f t="shared" si="250"/>
        <v>-37</v>
      </c>
      <c r="K306">
        <v>0</v>
      </c>
      <c r="L306">
        <f t="shared" si="251"/>
        <v>-34</v>
      </c>
      <c r="M306">
        <f t="shared" si="252"/>
        <v>12</v>
      </c>
      <c r="N306">
        <f t="shared" si="253"/>
        <v>107</v>
      </c>
    </row>
    <row r="307" spans="1:14" ht="12.75">
      <c r="A307" s="2">
        <v>38234.63125</v>
      </c>
      <c r="B307">
        <f t="shared" si="237"/>
        <v>84</v>
      </c>
      <c r="C307">
        <f t="shared" si="254"/>
        <v>73</v>
      </c>
      <c r="D307">
        <f>3+11+11+15+3+27+5</f>
        <v>75</v>
      </c>
      <c r="E307">
        <f t="shared" si="241"/>
        <v>46</v>
      </c>
      <c r="F307">
        <f t="shared" si="239"/>
        <v>95</v>
      </c>
      <c r="G307">
        <f t="shared" si="230"/>
        <v>162</v>
      </c>
      <c r="H307">
        <f t="shared" si="248"/>
        <v>-185</v>
      </c>
      <c r="I307">
        <f t="shared" si="249"/>
        <v>-112</v>
      </c>
      <c r="J307">
        <f t="shared" si="250"/>
        <v>-37</v>
      </c>
      <c r="K307">
        <v>0</v>
      </c>
      <c r="L307">
        <f t="shared" si="251"/>
        <v>-34</v>
      </c>
      <c r="M307">
        <f t="shared" si="252"/>
        <v>12</v>
      </c>
      <c r="N307">
        <f t="shared" si="253"/>
        <v>107</v>
      </c>
    </row>
    <row r="308" spans="1:14" ht="12.75">
      <c r="A308" s="2">
        <v>38235.82916666667</v>
      </c>
      <c r="B308">
        <f t="shared" si="237"/>
        <v>84</v>
      </c>
      <c r="C308">
        <f t="shared" si="254"/>
        <v>73</v>
      </c>
      <c r="D308">
        <f>3+11+11+15+3+27+5</f>
        <v>75</v>
      </c>
      <c r="E308">
        <f t="shared" si="241"/>
        <v>46</v>
      </c>
      <c r="F308">
        <f t="shared" si="239"/>
        <v>95</v>
      </c>
      <c r="G308">
        <f t="shared" si="230"/>
        <v>162</v>
      </c>
      <c r="H308">
        <f t="shared" si="248"/>
        <v>-185</v>
      </c>
      <c r="I308">
        <f t="shared" si="249"/>
        <v>-112</v>
      </c>
      <c r="J308">
        <f t="shared" si="250"/>
        <v>-37</v>
      </c>
      <c r="K308">
        <v>0</v>
      </c>
      <c r="L308">
        <f t="shared" si="251"/>
        <v>-34</v>
      </c>
      <c r="M308">
        <f t="shared" si="252"/>
        <v>12</v>
      </c>
      <c r="N308">
        <f t="shared" si="253"/>
        <v>107</v>
      </c>
    </row>
    <row r="309" spans="1:14" ht="12.75">
      <c r="A309" s="2">
        <v>38236.91111111111</v>
      </c>
      <c r="B309">
        <f t="shared" si="237"/>
        <v>84</v>
      </c>
      <c r="C309">
        <f t="shared" si="254"/>
        <v>73</v>
      </c>
      <c r="D309">
        <f>3+11+11+15+3+27+5</f>
        <v>75</v>
      </c>
      <c r="E309">
        <f t="shared" si="241"/>
        <v>46</v>
      </c>
      <c r="F309">
        <f t="shared" si="239"/>
        <v>95</v>
      </c>
      <c r="G309">
        <f t="shared" si="230"/>
        <v>162</v>
      </c>
      <c r="H309">
        <f t="shared" si="248"/>
        <v>-185</v>
      </c>
      <c r="I309">
        <f t="shared" si="249"/>
        <v>-112</v>
      </c>
      <c r="J309">
        <f t="shared" si="250"/>
        <v>-37</v>
      </c>
      <c r="K309">
        <v>0</v>
      </c>
      <c r="L309">
        <f t="shared" si="251"/>
        <v>-34</v>
      </c>
      <c r="M309">
        <f t="shared" si="252"/>
        <v>12</v>
      </c>
      <c r="N309">
        <f t="shared" si="253"/>
        <v>107</v>
      </c>
    </row>
    <row r="310" spans="1:14" ht="12.75">
      <c r="A310" s="2">
        <v>38237.68125</v>
      </c>
      <c r="B310">
        <f t="shared" si="237"/>
        <v>84</v>
      </c>
      <c r="C310">
        <f t="shared" si="254"/>
        <v>73</v>
      </c>
      <c r="D310">
        <f>3+11+11+15+3+27+5</f>
        <v>75</v>
      </c>
      <c r="E310">
        <f t="shared" si="241"/>
        <v>46</v>
      </c>
      <c r="F310">
        <f t="shared" si="239"/>
        <v>95</v>
      </c>
      <c r="G310">
        <f t="shared" si="230"/>
        <v>162</v>
      </c>
      <c r="H310">
        <f t="shared" si="248"/>
        <v>-185</v>
      </c>
      <c r="I310">
        <f t="shared" si="249"/>
        <v>-112</v>
      </c>
      <c r="J310">
        <f t="shared" si="250"/>
        <v>-37</v>
      </c>
      <c r="K310">
        <v>0</v>
      </c>
      <c r="L310">
        <f t="shared" si="251"/>
        <v>-34</v>
      </c>
      <c r="M310">
        <f t="shared" si="252"/>
        <v>12</v>
      </c>
      <c r="N310">
        <f t="shared" si="253"/>
        <v>107</v>
      </c>
    </row>
    <row r="311" spans="1:14" ht="12.75">
      <c r="A311" s="2">
        <v>38238.53125</v>
      </c>
      <c r="B311">
        <f t="shared" si="237"/>
        <v>84</v>
      </c>
      <c r="C311">
        <f t="shared" si="254"/>
        <v>73</v>
      </c>
      <c r="D311">
        <f>3+11+11+15+3+27+5+20+13</f>
        <v>108</v>
      </c>
      <c r="E311">
        <f>9+4+17</f>
        <v>30</v>
      </c>
      <c r="F311">
        <f>3+21+5+7+7+10+15+10+11</f>
        <v>89</v>
      </c>
      <c r="G311">
        <f aca="true" t="shared" si="255" ref="G311:G318">55+7+4+4+21+4+10+3+31+12</f>
        <v>151</v>
      </c>
      <c r="H311">
        <f aca="true" t="shared" si="256" ref="H311:H316">B311-269</f>
        <v>-185</v>
      </c>
      <c r="I311">
        <f aca="true" t="shared" si="257" ref="I311:I316">B311+C311-269</f>
        <v>-112</v>
      </c>
      <c r="J311">
        <f aca="true" t="shared" si="258" ref="J311:J316">B311+C311+D311-269</f>
        <v>-4</v>
      </c>
      <c r="K311">
        <v>0</v>
      </c>
      <c r="L311">
        <f aca="true" t="shared" si="259" ref="L311:L316">269-G311-F311-E311</f>
        <v>-1</v>
      </c>
      <c r="M311">
        <f aca="true" t="shared" si="260" ref="M311:M316">269-G311-F311</f>
        <v>29</v>
      </c>
      <c r="N311">
        <f aca="true" t="shared" si="261" ref="N311:N316">269-G311</f>
        <v>118</v>
      </c>
    </row>
    <row r="312" spans="1:14" ht="12.75">
      <c r="A312" s="2">
        <v>38239.63680555556</v>
      </c>
      <c r="B312">
        <f t="shared" si="237"/>
        <v>84</v>
      </c>
      <c r="C312">
        <f t="shared" si="254"/>
        <v>73</v>
      </c>
      <c r="D312">
        <f>3+11+11+15+3+27+5+20+13</f>
        <v>108</v>
      </c>
      <c r="E312">
        <f>9+4+17</f>
        <v>30</v>
      </c>
      <c r="F312">
        <f>3+21+5+7+7+10+15+10+11</f>
        <v>89</v>
      </c>
      <c r="G312">
        <f t="shared" si="255"/>
        <v>151</v>
      </c>
      <c r="H312">
        <f t="shared" si="256"/>
        <v>-185</v>
      </c>
      <c r="I312">
        <f t="shared" si="257"/>
        <v>-112</v>
      </c>
      <c r="J312">
        <f t="shared" si="258"/>
        <v>-4</v>
      </c>
      <c r="K312">
        <v>0</v>
      </c>
      <c r="L312">
        <f t="shared" si="259"/>
        <v>-1</v>
      </c>
      <c r="M312">
        <f t="shared" si="260"/>
        <v>29</v>
      </c>
      <c r="N312">
        <f t="shared" si="261"/>
        <v>118</v>
      </c>
    </row>
    <row r="313" spans="1:14" ht="12.75">
      <c r="A313" s="2">
        <v>38240.63125</v>
      </c>
      <c r="B313">
        <f>11+8+6+9+6+4+9+7+5+5+3+5+6+3</f>
        <v>87</v>
      </c>
      <c r="C313">
        <f>3+15+10+34+8</f>
        <v>70</v>
      </c>
      <c r="D313">
        <f>3+11+11+15+3+27+5+20+13</f>
        <v>108</v>
      </c>
      <c r="E313">
        <f>9+4+17+5+21</f>
        <v>56</v>
      </c>
      <c r="F313">
        <f>3+7+7+10+15+10+11</f>
        <v>63</v>
      </c>
      <c r="G313">
        <f t="shared" si="255"/>
        <v>151</v>
      </c>
      <c r="H313">
        <f t="shared" si="256"/>
        <v>-182</v>
      </c>
      <c r="I313">
        <f t="shared" si="257"/>
        <v>-112</v>
      </c>
      <c r="J313">
        <f t="shared" si="258"/>
        <v>-4</v>
      </c>
      <c r="K313">
        <v>0</v>
      </c>
      <c r="L313">
        <f t="shared" si="259"/>
        <v>-1</v>
      </c>
      <c r="M313">
        <f t="shared" si="260"/>
        <v>55</v>
      </c>
      <c r="N313">
        <f t="shared" si="261"/>
        <v>118</v>
      </c>
    </row>
    <row r="314" spans="1:14" ht="12.75">
      <c r="A314" s="2">
        <v>38241.60555555556</v>
      </c>
      <c r="B314">
        <f>11+8+6+9+6+4+9+7+5+5+3+5+6+3+15</f>
        <v>102</v>
      </c>
      <c r="C314">
        <f>3+15+10+34+8</f>
        <v>70</v>
      </c>
      <c r="D314">
        <f>3+11+11+3+27+5+20+13</f>
        <v>93</v>
      </c>
      <c r="E314">
        <f>9+4+17+5+21</f>
        <v>56</v>
      </c>
      <c r="F314">
        <f>3+7+7+10+15+10+11</f>
        <v>63</v>
      </c>
      <c r="G314">
        <f t="shared" si="255"/>
        <v>151</v>
      </c>
      <c r="H314">
        <f t="shared" si="256"/>
        <v>-167</v>
      </c>
      <c r="I314">
        <f t="shared" si="257"/>
        <v>-97</v>
      </c>
      <c r="J314">
        <f t="shared" si="258"/>
        <v>-4</v>
      </c>
      <c r="K314">
        <v>0</v>
      </c>
      <c r="L314">
        <f t="shared" si="259"/>
        <v>-1</v>
      </c>
      <c r="M314">
        <f t="shared" si="260"/>
        <v>55</v>
      </c>
      <c r="N314">
        <f t="shared" si="261"/>
        <v>118</v>
      </c>
    </row>
    <row r="315" spans="1:14" ht="12.75">
      <c r="A315" s="2">
        <v>38242.92569444444</v>
      </c>
      <c r="B315">
        <f>11+8+6+9+6+4+9+7+5+5+3+5+6+3+15</f>
        <v>102</v>
      </c>
      <c r="C315">
        <f>3+15+10+34+8+11</f>
        <v>81</v>
      </c>
      <c r="D315">
        <f>3+11+3+27+5+20+13</f>
        <v>82</v>
      </c>
      <c r="E315">
        <f>9+4+17+5+21</f>
        <v>56</v>
      </c>
      <c r="F315">
        <f>3+7+7+10+15+10+11</f>
        <v>63</v>
      </c>
      <c r="G315">
        <f t="shared" si="255"/>
        <v>151</v>
      </c>
      <c r="H315">
        <f t="shared" si="256"/>
        <v>-167</v>
      </c>
      <c r="I315">
        <f t="shared" si="257"/>
        <v>-86</v>
      </c>
      <c r="J315">
        <f t="shared" si="258"/>
        <v>-4</v>
      </c>
      <c r="K315">
        <v>0</v>
      </c>
      <c r="L315">
        <f t="shared" si="259"/>
        <v>-1</v>
      </c>
      <c r="M315">
        <f t="shared" si="260"/>
        <v>55</v>
      </c>
      <c r="N315">
        <f t="shared" si="261"/>
        <v>118</v>
      </c>
    </row>
    <row r="316" spans="1:14" ht="12.75">
      <c r="A316" s="2">
        <v>38243.78055555555</v>
      </c>
      <c r="B316">
        <f>11+8+6+9+6+4+9+7+5+5+3+5+6+3+15</f>
        <v>102</v>
      </c>
      <c r="C316">
        <f>3+15+10+34+8+11+27</f>
        <v>108</v>
      </c>
      <c r="D316">
        <f>3+11+3+5+20+13+4</f>
        <v>59</v>
      </c>
      <c r="E316">
        <f>9+17+21</f>
        <v>47</v>
      </c>
      <c r="F316">
        <f>3+7+7+10+15+10+11+5</f>
        <v>68</v>
      </c>
      <c r="G316">
        <f t="shared" si="255"/>
        <v>151</v>
      </c>
      <c r="H316">
        <f t="shared" si="256"/>
        <v>-167</v>
      </c>
      <c r="I316">
        <f t="shared" si="257"/>
        <v>-59</v>
      </c>
      <c r="J316">
        <f t="shared" si="258"/>
        <v>0</v>
      </c>
      <c r="K316">
        <v>0</v>
      </c>
      <c r="L316">
        <f t="shared" si="259"/>
        <v>3</v>
      </c>
      <c r="M316">
        <f t="shared" si="260"/>
        <v>50</v>
      </c>
      <c r="N316">
        <f t="shared" si="261"/>
        <v>118</v>
      </c>
    </row>
    <row r="317" spans="1:14" ht="12.75">
      <c r="A317" s="2">
        <v>38244.646527777775</v>
      </c>
      <c r="B317">
        <f>11+8+6+9+6+4+9+7+5+5+3+5+6+3+15</f>
        <v>102</v>
      </c>
      <c r="C317">
        <f>3+15+10+34+8+11+27</f>
        <v>108</v>
      </c>
      <c r="D317">
        <f>3+11+3+5+20+13+4</f>
        <v>59</v>
      </c>
      <c r="E317">
        <f>9+17+21</f>
        <v>47</v>
      </c>
      <c r="F317">
        <f>3+7+7+10+15+10+11+5</f>
        <v>68</v>
      </c>
      <c r="G317">
        <f t="shared" si="255"/>
        <v>151</v>
      </c>
      <c r="H317">
        <f aca="true" t="shared" si="262" ref="H317:H322">B317-269</f>
        <v>-167</v>
      </c>
      <c r="I317">
        <f aca="true" t="shared" si="263" ref="I317:I322">B317+C317-269</f>
        <v>-59</v>
      </c>
      <c r="J317">
        <f>B317+C317+D317-269</f>
        <v>0</v>
      </c>
      <c r="K317">
        <v>0</v>
      </c>
      <c r="L317">
        <f>269-G317-F317-E317</f>
        <v>3</v>
      </c>
      <c r="M317">
        <f aca="true" t="shared" si="264" ref="M317:M322">269-G317-F317</f>
        <v>50</v>
      </c>
      <c r="N317">
        <f aca="true" t="shared" si="265" ref="N317:N322">269-G317</f>
        <v>118</v>
      </c>
    </row>
    <row r="318" spans="1:14" ht="12.75">
      <c r="A318" s="2">
        <v>38245.29583333333</v>
      </c>
      <c r="B318">
        <f>11+8+6+9+6+4+9+7+5+5+3+5+6+3+15+3</f>
        <v>105</v>
      </c>
      <c r="C318">
        <f>15+10+34+8+11+27</f>
        <v>105</v>
      </c>
      <c r="D318">
        <f>3+11+3+5+20+13+4</f>
        <v>59</v>
      </c>
      <c r="E318">
        <f>9+17+21</f>
        <v>47</v>
      </c>
      <c r="F318">
        <f>3+7+7+10+15+10+11+5</f>
        <v>68</v>
      </c>
      <c r="G318">
        <f t="shared" si="255"/>
        <v>151</v>
      </c>
      <c r="H318">
        <f t="shared" si="262"/>
        <v>-164</v>
      </c>
      <c r="I318">
        <f t="shared" si="263"/>
        <v>-59</v>
      </c>
      <c r="J318">
        <f>B318+C318+D318-269</f>
        <v>0</v>
      </c>
      <c r="K318">
        <v>0</v>
      </c>
      <c r="L318">
        <f>269-G318-F318-E318</f>
        <v>3</v>
      </c>
      <c r="M318">
        <f t="shared" si="264"/>
        <v>50</v>
      </c>
      <c r="N318">
        <f t="shared" si="265"/>
        <v>118</v>
      </c>
    </row>
    <row r="319" spans="1:14" ht="12.75">
      <c r="A319" s="2">
        <v>38246.59444444445</v>
      </c>
      <c r="B319">
        <f>11+8+6+9+6+4+9+7+5+5+3+5+6+3+15+3</f>
        <v>105</v>
      </c>
      <c r="C319">
        <f>15+10+34+8+11+27</f>
        <v>105</v>
      </c>
      <c r="D319">
        <f>3+11+3+5+20+13+4</f>
        <v>59</v>
      </c>
      <c r="E319">
        <f>9+17+21</f>
        <v>47</v>
      </c>
      <c r="F319">
        <f>7+7+10+15+10+11+5</f>
        <v>65</v>
      </c>
      <c r="G319">
        <f>55+7+4+4+21+4+10+3+31+12+3</f>
        <v>154</v>
      </c>
      <c r="H319">
        <f t="shared" si="262"/>
        <v>-164</v>
      </c>
      <c r="I319">
        <f t="shared" si="263"/>
        <v>-59</v>
      </c>
      <c r="J319">
        <f>B319+C319+D319-269</f>
        <v>0</v>
      </c>
      <c r="K319">
        <v>0</v>
      </c>
      <c r="L319">
        <f>269-G319-F319-E319</f>
        <v>3</v>
      </c>
      <c r="M319">
        <f t="shared" si="264"/>
        <v>50</v>
      </c>
      <c r="N319">
        <f t="shared" si="265"/>
        <v>115</v>
      </c>
    </row>
    <row r="320" spans="1:14" ht="12.75">
      <c r="A320" s="2">
        <v>38247.64166666667</v>
      </c>
      <c r="B320">
        <f aca="true" t="shared" si="266" ref="B320:B326">11+8+6+9+6+4+9+7+5+5+3+6+3+15+3+10+34</f>
        <v>144</v>
      </c>
      <c r="C320">
        <f>15+8+11+5</f>
        <v>39</v>
      </c>
      <c r="D320">
        <f>3+11+3+5+20+13+4+9+27</f>
        <v>95</v>
      </c>
      <c r="E320">
        <f>17+21+10</f>
        <v>48</v>
      </c>
      <c r="F320">
        <f>7+7+10+15+11+5</f>
        <v>55</v>
      </c>
      <c r="G320">
        <f aca="true" t="shared" si="267" ref="G320:G326">55+7+4+4+21+4+10+3+31+12+3+3</f>
        <v>157</v>
      </c>
      <c r="H320">
        <f t="shared" si="262"/>
        <v>-125</v>
      </c>
      <c r="I320">
        <f t="shared" si="263"/>
        <v>-86</v>
      </c>
      <c r="J320">
        <f aca="true" t="shared" si="268" ref="J320:J346">B320+C320+D320-269-1.5</f>
        <v>7.5</v>
      </c>
      <c r="K320">
        <v>0</v>
      </c>
      <c r="L320">
        <f aca="true" t="shared" si="269" ref="L320:L346">269-G320-F320-E320+1.5</f>
        <v>10.5</v>
      </c>
      <c r="M320">
        <f t="shared" si="264"/>
        <v>57</v>
      </c>
      <c r="N320">
        <f t="shared" si="265"/>
        <v>112</v>
      </c>
    </row>
    <row r="321" spans="1:14" ht="12.75">
      <c r="A321" s="2">
        <v>38248.2625</v>
      </c>
      <c r="B321">
        <f t="shared" si="266"/>
        <v>144</v>
      </c>
      <c r="C321">
        <f>15+8+11+5</f>
        <v>39</v>
      </c>
      <c r="D321">
        <f>3+11+3+5+20+13+4+27</f>
        <v>86</v>
      </c>
      <c r="E321">
        <f>17+21+10+5+9</f>
        <v>62</v>
      </c>
      <c r="F321">
        <f>7+7+10+15+11</f>
        <v>50</v>
      </c>
      <c r="G321">
        <f t="shared" si="267"/>
        <v>157</v>
      </c>
      <c r="H321">
        <f t="shared" si="262"/>
        <v>-125</v>
      </c>
      <c r="I321">
        <f t="shared" si="263"/>
        <v>-86</v>
      </c>
      <c r="J321">
        <f t="shared" si="268"/>
        <v>-1.5</v>
      </c>
      <c r="K321">
        <v>0</v>
      </c>
      <c r="L321">
        <f t="shared" si="269"/>
        <v>1.5</v>
      </c>
      <c r="M321">
        <f t="shared" si="264"/>
        <v>62</v>
      </c>
      <c r="N321">
        <f t="shared" si="265"/>
        <v>112</v>
      </c>
    </row>
    <row r="322" spans="1:14" ht="12.75">
      <c r="A322" s="2">
        <v>38249.88680555556</v>
      </c>
      <c r="B322">
        <f t="shared" si="266"/>
        <v>144</v>
      </c>
      <c r="C322">
        <f>15+8+5+3</f>
        <v>31</v>
      </c>
      <c r="D322">
        <f>3+11+5+20+13+4+27+11</f>
        <v>94</v>
      </c>
      <c r="E322">
        <f>17+21+10+5+9</f>
        <v>62</v>
      </c>
      <c r="F322">
        <f>7+7+10+15+11</f>
        <v>50</v>
      </c>
      <c r="G322">
        <f t="shared" si="267"/>
        <v>157</v>
      </c>
      <c r="H322">
        <f t="shared" si="262"/>
        <v>-125</v>
      </c>
      <c r="I322">
        <f t="shared" si="263"/>
        <v>-94</v>
      </c>
      <c r="J322">
        <f t="shared" si="268"/>
        <v>-1.5</v>
      </c>
      <c r="K322">
        <v>0</v>
      </c>
      <c r="L322">
        <f t="shared" si="269"/>
        <v>1.5</v>
      </c>
      <c r="M322">
        <f t="shared" si="264"/>
        <v>62</v>
      </c>
      <c r="N322">
        <f t="shared" si="265"/>
        <v>112</v>
      </c>
    </row>
    <row r="323" spans="1:14" ht="12.75">
      <c r="A323" s="2">
        <v>38250.73888888889</v>
      </c>
      <c r="B323">
        <f t="shared" si="266"/>
        <v>144</v>
      </c>
      <c r="C323">
        <f>8+5+3</f>
        <v>16</v>
      </c>
      <c r="D323">
        <f>3+11+5+20+13+4+27+11+15</f>
        <v>109</v>
      </c>
      <c r="E323">
        <f>17+21+10+5+9</f>
        <v>62</v>
      </c>
      <c r="F323">
        <f>7+7+10+15+11</f>
        <v>50</v>
      </c>
      <c r="G323">
        <f t="shared" si="267"/>
        <v>157</v>
      </c>
      <c r="H323">
        <f aca="true" t="shared" si="270" ref="H323:H329">B323-269</f>
        <v>-125</v>
      </c>
      <c r="I323">
        <f aca="true" t="shared" si="271" ref="I323:I329">B323+C323-269</f>
        <v>-109</v>
      </c>
      <c r="J323">
        <f t="shared" si="268"/>
        <v>-1.5</v>
      </c>
      <c r="K323">
        <v>0</v>
      </c>
      <c r="L323">
        <f t="shared" si="269"/>
        <v>1.5</v>
      </c>
      <c r="M323">
        <f aca="true" t="shared" si="272" ref="M323:M329">269-G323-F323</f>
        <v>62</v>
      </c>
      <c r="N323">
        <f aca="true" t="shared" si="273" ref="N323:N329">269-G323</f>
        <v>112</v>
      </c>
    </row>
    <row r="324" spans="1:14" ht="12.75">
      <c r="A324" s="2">
        <v>38251.57083333333</v>
      </c>
      <c r="B324">
        <f t="shared" si="266"/>
        <v>144</v>
      </c>
      <c r="C324">
        <f>8+5+3</f>
        <v>16</v>
      </c>
      <c r="D324">
        <f>3+11+5+20+13+4+27+11+15</f>
        <v>109</v>
      </c>
      <c r="E324">
        <f>17+21+10+5+9+10</f>
        <v>72</v>
      </c>
      <c r="F324">
        <f>7+7+15+11</f>
        <v>40</v>
      </c>
      <c r="G324">
        <f t="shared" si="267"/>
        <v>157</v>
      </c>
      <c r="H324">
        <f t="shared" si="270"/>
        <v>-125</v>
      </c>
      <c r="I324">
        <f t="shared" si="271"/>
        <v>-109</v>
      </c>
      <c r="J324">
        <f t="shared" si="268"/>
        <v>-1.5</v>
      </c>
      <c r="K324">
        <v>0</v>
      </c>
      <c r="L324">
        <f t="shared" si="269"/>
        <v>1.5</v>
      </c>
      <c r="M324">
        <f t="shared" si="272"/>
        <v>72</v>
      </c>
      <c r="N324">
        <f t="shared" si="273"/>
        <v>112</v>
      </c>
    </row>
    <row r="325" spans="1:14" ht="12.75">
      <c r="A325" s="2">
        <v>38252.555555555555</v>
      </c>
      <c r="B325">
        <f t="shared" si="266"/>
        <v>144</v>
      </c>
      <c r="C325">
        <f>8+5+3</f>
        <v>16</v>
      </c>
      <c r="D325">
        <f>3+11+5+20+4+27+11+15</f>
        <v>96</v>
      </c>
      <c r="E325">
        <f>17+21+10+9+10+13</f>
        <v>80</v>
      </c>
      <c r="F325">
        <f>7+7+15+11+5</f>
        <v>45</v>
      </c>
      <c r="G325">
        <f t="shared" si="267"/>
        <v>157</v>
      </c>
      <c r="H325">
        <f t="shared" si="270"/>
        <v>-125</v>
      </c>
      <c r="I325">
        <f t="shared" si="271"/>
        <v>-109</v>
      </c>
      <c r="J325">
        <f t="shared" si="268"/>
        <v>-14.5</v>
      </c>
      <c r="K325">
        <v>0</v>
      </c>
      <c r="L325">
        <f t="shared" si="269"/>
        <v>-11.5</v>
      </c>
      <c r="M325">
        <f t="shared" si="272"/>
        <v>67</v>
      </c>
      <c r="N325">
        <f t="shared" si="273"/>
        <v>112</v>
      </c>
    </row>
    <row r="326" spans="1:14" ht="12.75">
      <c r="A326" s="2">
        <v>38253.28958333333</v>
      </c>
      <c r="B326">
        <f t="shared" si="266"/>
        <v>144</v>
      </c>
      <c r="C326">
        <f>8+5+3</f>
        <v>16</v>
      </c>
      <c r="D326">
        <f>3+11+5+20+4+27+11+15</f>
        <v>96</v>
      </c>
      <c r="E326">
        <f>17+21+10+9+10+13</f>
        <v>80</v>
      </c>
      <c r="F326">
        <f>7+7+15+11+5</f>
        <v>45</v>
      </c>
      <c r="G326">
        <f t="shared" si="267"/>
        <v>157</v>
      </c>
      <c r="H326">
        <f t="shared" si="270"/>
        <v>-125</v>
      </c>
      <c r="I326">
        <f t="shared" si="271"/>
        <v>-109</v>
      </c>
      <c r="J326">
        <f t="shared" si="268"/>
        <v>-14.5</v>
      </c>
      <c r="K326">
        <v>0</v>
      </c>
      <c r="L326">
        <f t="shared" si="269"/>
        <v>-11.5</v>
      </c>
      <c r="M326">
        <f t="shared" si="272"/>
        <v>67</v>
      </c>
      <c r="N326">
        <f t="shared" si="273"/>
        <v>112</v>
      </c>
    </row>
    <row r="327" spans="1:14" ht="12.75">
      <c r="A327" s="2">
        <v>38254.629166666666</v>
      </c>
      <c r="B327">
        <f>11+8+6+9+6+4+9+7+5+5+3+6+3+15+3+10+34+8</f>
        <v>152</v>
      </c>
      <c r="C327">
        <f>5+3</f>
        <v>8</v>
      </c>
      <c r="D327">
        <f>3+11+5+20+4+27+11+15</f>
        <v>96</v>
      </c>
      <c r="E327">
        <f>17+21+10+10+13</f>
        <v>71</v>
      </c>
      <c r="F327">
        <f>7+15+11+5+9+4</f>
        <v>51</v>
      </c>
      <c r="G327">
        <f>55+7+4+4+21+10+3+31+12+3+3+7</f>
        <v>160</v>
      </c>
      <c r="H327">
        <f t="shared" si="270"/>
        <v>-117</v>
      </c>
      <c r="I327">
        <f t="shared" si="271"/>
        <v>-109</v>
      </c>
      <c r="J327">
        <f t="shared" si="268"/>
        <v>-14.5</v>
      </c>
      <c r="K327">
        <v>0</v>
      </c>
      <c r="L327">
        <f t="shared" si="269"/>
        <v>-11.5</v>
      </c>
      <c r="M327">
        <f t="shared" si="272"/>
        <v>58</v>
      </c>
      <c r="N327">
        <f t="shared" si="273"/>
        <v>109</v>
      </c>
    </row>
    <row r="328" spans="1:14" ht="12.75">
      <c r="A328" s="2">
        <v>38255.61388888889</v>
      </c>
      <c r="B328">
        <f aca="true" t="shared" si="274" ref="B328:B338">11+8+6+9+6+4+9+7+5+5+3+3+15+3+10+34+8</f>
        <v>146</v>
      </c>
      <c r="C328">
        <f>5+3+6</f>
        <v>14</v>
      </c>
      <c r="D328">
        <f>3+11+5+20+27+11+15</f>
        <v>92</v>
      </c>
      <c r="E328">
        <f>21+10+10+13+4</f>
        <v>58</v>
      </c>
      <c r="F328">
        <f>7+15+11+5+9+4+17</f>
        <v>68</v>
      </c>
      <c r="G328">
        <f>55+7+4+4+21+10+3+31+12+3+3+7</f>
        <v>160</v>
      </c>
      <c r="H328">
        <f t="shared" si="270"/>
        <v>-123</v>
      </c>
      <c r="I328">
        <f t="shared" si="271"/>
        <v>-109</v>
      </c>
      <c r="J328">
        <f t="shared" si="268"/>
        <v>-18.5</v>
      </c>
      <c r="K328">
        <v>0</v>
      </c>
      <c r="L328">
        <f t="shared" si="269"/>
        <v>-15.5</v>
      </c>
      <c r="M328">
        <f t="shared" si="272"/>
        <v>41</v>
      </c>
      <c r="N328">
        <f t="shared" si="273"/>
        <v>109</v>
      </c>
    </row>
    <row r="329" spans="1:14" ht="12.75">
      <c r="A329" s="2">
        <v>38256.84166666667</v>
      </c>
      <c r="B329">
        <f t="shared" si="274"/>
        <v>146</v>
      </c>
      <c r="C329">
        <f aca="true" t="shared" si="275" ref="C329:C338">5+3+6+3</f>
        <v>17</v>
      </c>
      <c r="D329">
        <f>11+5+20+27+11+15</f>
        <v>89</v>
      </c>
      <c r="E329">
        <f>21+10+10+13+4+9</f>
        <v>67</v>
      </c>
      <c r="F329">
        <f>15+11+5+4+17</f>
        <v>52</v>
      </c>
      <c r="G329">
        <f aca="true" t="shared" si="276" ref="G329:G339">55+7+4+4+21+10+3+31+12+3+3+7+7</f>
        <v>167</v>
      </c>
      <c r="H329">
        <f t="shared" si="270"/>
        <v>-123</v>
      </c>
      <c r="I329">
        <f t="shared" si="271"/>
        <v>-106</v>
      </c>
      <c r="J329">
        <f t="shared" si="268"/>
        <v>-18.5</v>
      </c>
      <c r="K329">
        <v>0</v>
      </c>
      <c r="L329">
        <f t="shared" si="269"/>
        <v>-15.5</v>
      </c>
      <c r="M329">
        <f t="shared" si="272"/>
        <v>50</v>
      </c>
      <c r="N329">
        <f t="shared" si="273"/>
        <v>102</v>
      </c>
    </row>
    <row r="330" spans="1:14" ht="12.75">
      <c r="A330" s="2">
        <v>38257.79583333333</v>
      </c>
      <c r="B330">
        <f t="shared" si="274"/>
        <v>146</v>
      </c>
      <c r="C330">
        <f t="shared" si="275"/>
        <v>17</v>
      </c>
      <c r="D330">
        <f>11+5+20+27+11+15</f>
        <v>89</v>
      </c>
      <c r="E330">
        <f>21+10+10+13+4+9</f>
        <v>67</v>
      </c>
      <c r="F330">
        <f>15+11+5+4+17</f>
        <v>52</v>
      </c>
      <c r="G330">
        <f t="shared" si="276"/>
        <v>167</v>
      </c>
      <c r="H330">
        <f aca="true" t="shared" si="277" ref="H330:H336">B330-269</f>
        <v>-123</v>
      </c>
      <c r="I330">
        <f aca="true" t="shared" si="278" ref="I330:I336">B330+C330-269</f>
        <v>-106</v>
      </c>
      <c r="J330">
        <f t="shared" si="268"/>
        <v>-18.5</v>
      </c>
      <c r="K330">
        <v>0</v>
      </c>
      <c r="L330">
        <f t="shared" si="269"/>
        <v>-15.5</v>
      </c>
      <c r="M330">
        <f aca="true" t="shared" si="279" ref="M330:M336">269-G330-F330</f>
        <v>50</v>
      </c>
      <c r="N330">
        <f aca="true" t="shared" si="280" ref="N330:N336">269-G330</f>
        <v>102</v>
      </c>
    </row>
    <row r="331" spans="1:14" ht="12.75">
      <c r="A331" s="2">
        <v>38258.63888888889</v>
      </c>
      <c r="B331">
        <f t="shared" si="274"/>
        <v>146</v>
      </c>
      <c r="C331">
        <f t="shared" si="275"/>
        <v>17</v>
      </c>
      <c r="D331">
        <f>11+5+20+27+11+15</f>
        <v>89</v>
      </c>
      <c r="E331">
        <f>21+10+10+13+4+9</f>
        <v>67</v>
      </c>
      <c r="F331">
        <f>15+11+5+4+17</f>
        <v>52</v>
      </c>
      <c r="G331">
        <f t="shared" si="276"/>
        <v>167</v>
      </c>
      <c r="H331">
        <f t="shared" si="277"/>
        <v>-123</v>
      </c>
      <c r="I331">
        <f t="shared" si="278"/>
        <v>-106</v>
      </c>
      <c r="J331">
        <f t="shared" si="268"/>
        <v>-18.5</v>
      </c>
      <c r="K331">
        <v>0</v>
      </c>
      <c r="L331">
        <f t="shared" si="269"/>
        <v>-15.5</v>
      </c>
      <c r="M331">
        <f t="shared" si="279"/>
        <v>50</v>
      </c>
      <c r="N331">
        <f t="shared" si="280"/>
        <v>102</v>
      </c>
    </row>
    <row r="332" spans="1:14" ht="12.75">
      <c r="A332" s="2">
        <v>38259.61666666667</v>
      </c>
      <c r="B332">
        <f t="shared" si="274"/>
        <v>146</v>
      </c>
      <c r="C332">
        <f t="shared" si="275"/>
        <v>17</v>
      </c>
      <c r="D332">
        <f>11+5+20+27+11</f>
        <v>74</v>
      </c>
      <c r="E332">
        <f>10+10+13+4+9+15</f>
        <v>61</v>
      </c>
      <c r="F332">
        <f>15+11+5+4+17+21</f>
        <v>73</v>
      </c>
      <c r="G332">
        <f t="shared" si="276"/>
        <v>167</v>
      </c>
      <c r="H332">
        <f t="shared" si="277"/>
        <v>-123</v>
      </c>
      <c r="I332">
        <f t="shared" si="278"/>
        <v>-106</v>
      </c>
      <c r="J332">
        <f t="shared" si="268"/>
        <v>-33.5</v>
      </c>
      <c r="K332">
        <v>0</v>
      </c>
      <c r="L332">
        <f t="shared" si="269"/>
        <v>-30.5</v>
      </c>
      <c r="M332">
        <f t="shared" si="279"/>
        <v>29</v>
      </c>
      <c r="N332">
        <f t="shared" si="280"/>
        <v>102</v>
      </c>
    </row>
    <row r="333" spans="1:14" ht="12.75">
      <c r="A333" s="2">
        <v>38260.55347222222</v>
      </c>
      <c r="B333">
        <f t="shared" si="274"/>
        <v>146</v>
      </c>
      <c r="C333">
        <f t="shared" si="275"/>
        <v>17</v>
      </c>
      <c r="D333">
        <f>11+5+11</f>
        <v>27</v>
      </c>
      <c r="E333">
        <f>10+10+13+4+9+15+27+20</f>
        <v>108</v>
      </c>
      <c r="F333">
        <f>15+11+5+4+17+21</f>
        <v>73</v>
      </c>
      <c r="G333">
        <f t="shared" si="276"/>
        <v>167</v>
      </c>
      <c r="H333">
        <f t="shared" si="277"/>
        <v>-123</v>
      </c>
      <c r="I333">
        <f t="shared" si="278"/>
        <v>-106</v>
      </c>
      <c r="J333">
        <f t="shared" si="268"/>
        <v>-80.5</v>
      </c>
      <c r="K333">
        <v>0</v>
      </c>
      <c r="L333">
        <f t="shared" si="269"/>
        <v>-77.5</v>
      </c>
      <c r="M333">
        <f t="shared" si="279"/>
        <v>29</v>
      </c>
      <c r="N333">
        <f t="shared" si="280"/>
        <v>102</v>
      </c>
    </row>
    <row r="334" spans="1:14" ht="12.75">
      <c r="A334" s="2">
        <v>38261.561111111114</v>
      </c>
      <c r="B334">
        <f t="shared" si="274"/>
        <v>146</v>
      </c>
      <c r="C334">
        <f t="shared" si="275"/>
        <v>17</v>
      </c>
      <c r="D334">
        <f aca="true" t="shared" si="281" ref="D334:D341">11+11</f>
        <v>22</v>
      </c>
      <c r="E334">
        <f>10+13+4+9+15+27+20+5</f>
        <v>103</v>
      </c>
      <c r="F334">
        <f>15+11+5+4+17+21+10</f>
        <v>83</v>
      </c>
      <c r="G334">
        <f t="shared" si="276"/>
        <v>167</v>
      </c>
      <c r="H334">
        <f t="shared" si="277"/>
        <v>-123</v>
      </c>
      <c r="I334">
        <f t="shared" si="278"/>
        <v>-106</v>
      </c>
      <c r="J334">
        <f t="shared" si="268"/>
        <v>-85.5</v>
      </c>
      <c r="K334">
        <v>0</v>
      </c>
      <c r="L334">
        <f t="shared" si="269"/>
        <v>-82.5</v>
      </c>
      <c r="M334">
        <f t="shared" si="279"/>
        <v>19</v>
      </c>
      <c r="N334">
        <f t="shared" si="280"/>
        <v>102</v>
      </c>
    </row>
    <row r="335" spans="1:14" ht="12.75">
      <c r="A335" s="2">
        <v>38262.58541666667</v>
      </c>
      <c r="B335">
        <f t="shared" si="274"/>
        <v>146</v>
      </c>
      <c r="C335">
        <f t="shared" si="275"/>
        <v>17</v>
      </c>
      <c r="D335">
        <f t="shared" si="281"/>
        <v>22</v>
      </c>
      <c r="E335">
        <f>13+4+9+15+20+5+10</f>
        <v>76</v>
      </c>
      <c r="F335">
        <f>15+11+5+4+17+21+10+27</f>
        <v>110</v>
      </c>
      <c r="G335">
        <f t="shared" si="276"/>
        <v>167</v>
      </c>
      <c r="H335">
        <f t="shared" si="277"/>
        <v>-123</v>
      </c>
      <c r="I335">
        <f t="shared" si="278"/>
        <v>-106</v>
      </c>
      <c r="J335">
        <f t="shared" si="268"/>
        <v>-85.5</v>
      </c>
      <c r="K335">
        <v>0</v>
      </c>
      <c r="L335">
        <f t="shared" si="269"/>
        <v>-82.5</v>
      </c>
      <c r="M335">
        <f t="shared" si="279"/>
        <v>-8</v>
      </c>
      <c r="N335">
        <f t="shared" si="280"/>
        <v>102</v>
      </c>
    </row>
    <row r="336" spans="1:14" ht="12.75">
      <c r="A336" s="2">
        <v>38263.925</v>
      </c>
      <c r="B336">
        <f t="shared" si="274"/>
        <v>146</v>
      </c>
      <c r="C336">
        <f t="shared" si="275"/>
        <v>17</v>
      </c>
      <c r="D336">
        <f t="shared" si="281"/>
        <v>22</v>
      </c>
      <c r="E336">
        <f>13+9+15+20+5+10</f>
        <v>72</v>
      </c>
      <c r="F336">
        <f>15+11+5+4+17+21+10+27+4</f>
        <v>114</v>
      </c>
      <c r="G336">
        <f t="shared" si="276"/>
        <v>167</v>
      </c>
      <c r="H336">
        <f t="shared" si="277"/>
        <v>-123</v>
      </c>
      <c r="I336">
        <f t="shared" si="278"/>
        <v>-106</v>
      </c>
      <c r="J336">
        <f t="shared" si="268"/>
        <v>-85.5</v>
      </c>
      <c r="K336">
        <v>0</v>
      </c>
      <c r="L336">
        <f t="shared" si="269"/>
        <v>-82.5</v>
      </c>
      <c r="M336">
        <f t="shared" si="279"/>
        <v>-12</v>
      </c>
      <c r="N336">
        <f t="shared" si="280"/>
        <v>102</v>
      </c>
    </row>
    <row r="337" spans="1:14" ht="12.75">
      <c r="A337" s="2">
        <v>38264.88402777778</v>
      </c>
      <c r="B337">
        <f t="shared" si="274"/>
        <v>146</v>
      </c>
      <c r="C337">
        <f t="shared" si="275"/>
        <v>17</v>
      </c>
      <c r="D337">
        <f t="shared" si="281"/>
        <v>22</v>
      </c>
      <c r="E337">
        <f>13+9+15+20+5</f>
        <v>62</v>
      </c>
      <c r="F337">
        <f>15+11+5+4+17+21+10+27+4+10</f>
        <v>124</v>
      </c>
      <c r="G337">
        <f t="shared" si="276"/>
        <v>167</v>
      </c>
      <c r="H337">
        <f aca="true" t="shared" si="282" ref="H337:H342">B337-269</f>
        <v>-123</v>
      </c>
      <c r="I337">
        <f aca="true" t="shared" si="283" ref="I337:I342">B337+C337-269</f>
        <v>-106</v>
      </c>
      <c r="J337">
        <f t="shared" si="268"/>
        <v>-85.5</v>
      </c>
      <c r="K337">
        <v>0</v>
      </c>
      <c r="L337">
        <f t="shared" si="269"/>
        <v>-82.5</v>
      </c>
      <c r="M337">
        <f aca="true" t="shared" si="284" ref="M337:M342">269-G337-F337</f>
        <v>-22</v>
      </c>
      <c r="N337">
        <f aca="true" t="shared" si="285" ref="N337:N342">269-G337</f>
        <v>102</v>
      </c>
    </row>
    <row r="338" spans="1:14" ht="12.75">
      <c r="A338" s="2">
        <v>38265.66736111111</v>
      </c>
      <c r="B338">
        <f t="shared" si="274"/>
        <v>146</v>
      </c>
      <c r="C338">
        <f t="shared" si="275"/>
        <v>17</v>
      </c>
      <c r="D338">
        <f t="shared" si="281"/>
        <v>22</v>
      </c>
      <c r="E338">
        <f>13+9+15+20+5</f>
        <v>62</v>
      </c>
      <c r="F338">
        <f>15+11+5+4+17+21+10+27+4+10</f>
        <v>124</v>
      </c>
      <c r="G338">
        <f t="shared" si="276"/>
        <v>167</v>
      </c>
      <c r="H338">
        <f t="shared" si="282"/>
        <v>-123</v>
      </c>
      <c r="I338">
        <f t="shared" si="283"/>
        <v>-106</v>
      </c>
      <c r="J338">
        <f t="shared" si="268"/>
        <v>-85.5</v>
      </c>
      <c r="K338">
        <v>0</v>
      </c>
      <c r="L338">
        <f t="shared" si="269"/>
        <v>-82.5</v>
      </c>
      <c r="M338">
        <f t="shared" si="284"/>
        <v>-22</v>
      </c>
      <c r="N338">
        <f t="shared" si="285"/>
        <v>102</v>
      </c>
    </row>
    <row r="339" spans="1:14" ht="12.75">
      <c r="A339" s="2">
        <v>38266.646527777775</v>
      </c>
      <c r="B339">
        <f aca="true" t="shared" si="286" ref="B339:B357">11+8+6+9+6+4+9+7+5+5+3+3+3+10+34+8</f>
        <v>131</v>
      </c>
      <c r="C339">
        <f>5+3+6+3+15</f>
        <v>32</v>
      </c>
      <c r="D339">
        <f t="shared" si="281"/>
        <v>22</v>
      </c>
      <c r="E339">
        <f>9+15+20+5+27</f>
        <v>76</v>
      </c>
      <c r="F339">
        <f>15+11+5+4+17+21+10+4+10+13</f>
        <v>110</v>
      </c>
      <c r="G339">
        <f t="shared" si="276"/>
        <v>167</v>
      </c>
      <c r="H339">
        <f t="shared" si="282"/>
        <v>-138</v>
      </c>
      <c r="I339">
        <f t="shared" si="283"/>
        <v>-106</v>
      </c>
      <c r="J339">
        <f t="shared" si="268"/>
        <v>-85.5</v>
      </c>
      <c r="K339">
        <v>0</v>
      </c>
      <c r="L339">
        <f t="shared" si="269"/>
        <v>-82.5</v>
      </c>
      <c r="M339">
        <f t="shared" si="284"/>
        <v>-8</v>
      </c>
      <c r="N339">
        <f t="shared" si="285"/>
        <v>102</v>
      </c>
    </row>
    <row r="340" spans="1:14" ht="12.75">
      <c r="A340" s="2">
        <v>38267.631944444445</v>
      </c>
      <c r="B340">
        <f t="shared" si="286"/>
        <v>131</v>
      </c>
      <c r="C340">
        <f>5+3+6+3+15</f>
        <v>32</v>
      </c>
      <c r="D340">
        <f t="shared" si="281"/>
        <v>22</v>
      </c>
      <c r="E340">
        <f>9+15+20+5+27</f>
        <v>76</v>
      </c>
      <c r="F340">
        <f>15+11+5+4+17+10+4+10+13</f>
        <v>89</v>
      </c>
      <c r="G340">
        <f>55+7+4+4+21+10+3+31+12+3+3+7+7+21</f>
        <v>188</v>
      </c>
      <c r="H340">
        <f t="shared" si="282"/>
        <v>-138</v>
      </c>
      <c r="I340">
        <f t="shared" si="283"/>
        <v>-106</v>
      </c>
      <c r="J340">
        <f t="shared" si="268"/>
        <v>-85.5</v>
      </c>
      <c r="K340">
        <v>0</v>
      </c>
      <c r="L340">
        <f t="shared" si="269"/>
        <v>-82.5</v>
      </c>
      <c r="M340">
        <f t="shared" si="284"/>
        <v>-8</v>
      </c>
      <c r="N340">
        <f t="shared" si="285"/>
        <v>81</v>
      </c>
    </row>
    <row r="341" spans="1:14" ht="12.75">
      <c r="A341" s="2">
        <v>38268.69652777778</v>
      </c>
      <c r="B341">
        <f t="shared" si="286"/>
        <v>131</v>
      </c>
      <c r="C341">
        <f>5+3+6+3+15</f>
        <v>32</v>
      </c>
      <c r="D341">
        <f t="shared" si="281"/>
        <v>22</v>
      </c>
      <c r="E341">
        <f>9+15+20+5+27</f>
        <v>76</v>
      </c>
      <c r="F341">
        <f>15+11+5+4+17+10+4+10+13</f>
        <v>89</v>
      </c>
      <c r="G341">
        <f>55+7+4+4+21+10+3+31+12+3+3+7+7+21</f>
        <v>188</v>
      </c>
      <c r="H341">
        <f t="shared" si="282"/>
        <v>-138</v>
      </c>
      <c r="I341">
        <f t="shared" si="283"/>
        <v>-106</v>
      </c>
      <c r="J341">
        <f t="shared" si="268"/>
        <v>-85.5</v>
      </c>
      <c r="K341">
        <v>0</v>
      </c>
      <c r="L341">
        <f t="shared" si="269"/>
        <v>-82.5</v>
      </c>
      <c r="M341">
        <f t="shared" si="284"/>
        <v>-8</v>
      </c>
      <c r="N341">
        <f t="shared" si="285"/>
        <v>81</v>
      </c>
    </row>
    <row r="342" spans="1:14" ht="12.75">
      <c r="A342" s="2">
        <v>38269.674305555556</v>
      </c>
      <c r="B342">
        <f t="shared" si="286"/>
        <v>131</v>
      </c>
      <c r="C342">
        <f aca="true" t="shared" si="287" ref="C342:C349">3+6+3+15</f>
        <v>27</v>
      </c>
      <c r="D342">
        <f>11+11+5</f>
        <v>27</v>
      </c>
      <c r="E342">
        <f>9+15+20+5+27</f>
        <v>76</v>
      </c>
      <c r="F342">
        <f>15+11+5+4+10+10+13</f>
        <v>68</v>
      </c>
      <c r="G342">
        <f>55+7+4+4+21+10+3+31+12+3+3+7+7+21+4+17</f>
        <v>209</v>
      </c>
      <c r="H342">
        <f t="shared" si="282"/>
        <v>-138</v>
      </c>
      <c r="I342">
        <f t="shared" si="283"/>
        <v>-111</v>
      </c>
      <c r="J342">
        <f t="shared" si="268"/>
        <v>-85.5</v>
      </c>
      <c r="K342">
        <v>0</v>
      </c>
      <c r="L342">
        <f t="shared" si="269"/>
        <v>-82.5</v>
      </c>
      <c r="M342">
        <f t="shared" si="284"/>
        <v>-8</v>
      </c>
      <c r="N342">
        <f t="shared" si="285"/>
        <v>60</v>
      </c>
    </row>
    <row r="343" spans="1:14" ht="12.75">
      <c r="A343" s="2">
        <v>38270.80902777778</v>
      </c>
      <c r="B343">
        <f t="shared" si="286"/>
        <v>131</v>
      </c>
      <c r="C343">
        <f t="shared" si="287"/>
        <v>27</v>
      </c>
      <c r="D343">
        <f>11+11+5</f>
        <v>27</v>
      </c>
      <c r="E343">
        <f>9+15+20+5</f>
        <v>49</v>
      </c>
      <c r="F343">
        <f>15+11+5+4+10+10+13+27</f>
        <v>95</v>
      </c>
      <c r="G343">
        <f>55+7+4+4+21+10+3+31+12+3+3+7+7+21+4+17</f>
        <v>209</v>
      </c>
      <c r="H343">
        <f aca="true" t="shared" si="288" ref="H343:H348">B343-269</f>
        <v>-138</v>
      </c>
      <c r="I343">
        <f aca="true" t="shared" si="289" ref="I343:I348">B343+C343-269</f>
        <v>-111</v>
      </c>
      <c r="J343">
        <f t="shared" si="268"/>
        <v>-85.5</v>
      </c>
      <c r="K343">
        <v>0</v>
      </c>
      <c r="L343">
        <f t="shared" si="269"/>
        <v>-82.5</v>
      </c>
      <c r="M343">
        <f aca="true" t="shared" si="290" ref="M343:M348">269-G343-F343</f>
        <v>-35</v>
      </c>
      <c r="N343">
        <f aca="true" t="shared" si="291" ref="N343:N348">269-G343</f>
        <v>60</v>
      </c>
    </row>
    <row r="344" spans="1:14" ht="12.75">
      <c r="A344" s="2">
        <v>38271.91736111111</v>
      </c>
      <c r="B344">
        <f t="shared" si="286"/>
        <v>131</v>
      </c>
      <c r="C344">
        <f t="shared" si="287"/>
        <v>27</v>
      </c>
      <c r="D344">
        <f>11+11+5</f>
        <v>27</v>
      </c>
      <c r="E344">
        <f>9+15+20+5</f>
        <v>49</v>
      </c>
      <c r="F344">
        <f>15+11+5+4+10+10+13+27</f>
        <v>95</v>
      </c>
      <c r="G344">
        <f>55+7+4+4+21+10+3+31+12+3+3+7+7+21+4+17</f>
        <v>209</v>
      </c>
      <c r="H344">
        <f t="shared" si="288"/>
        <v>-138</v>
      </c>
      <c r="I344">
        <f t="shared" si="289"/>
        <v>-111</v>
      </c>
      <c r="J344">
        <f t="shared" si="268"/>
        <v>-85.5</v>
      </c>
      <c r="K344">
        <v>0</v>
      </c>
      <c r="L344">
        <f t="shared" si="269"/>
        <v>-82.5</v>
      </c>
      <c r="M344">
        <f t="shared" si="290"/>
        <v>-35</v>
      </c>
      <c r="N344">
        <f t="shared" si="291"/>
        <v>60</v>
      </c>
    </row>
    <row r="345" spans="1:14" ht="12.75">
      <c r="A345" s="2">
        <v>38272.59375</v>
      </c>
      <c r="B345">
        <f t="shared" si="286"/>
        <v>131</v>
      </c>
      <c r="C345">
        <f t="shared" si="287"/>
        <v>27</v>
      </c>
      <c r="D345">
        <f>11+11+5</f>
        <v>27</v>
      </c>
      <c r="E345">
        <f>9+15+20+5</f>
        <v>49</v>
      </c>
      <c r="F345">
        <f>15+11+5+4+10+10+13+27</f>
        <v>95</v>
      </c>
      <c r="G345">
        <f>55+7+4+4+21+10+3+31+12+3+3+7+7+21+4+17</f>
        <v>209</v>
      </c>
      <c r="H345">
        <f t="shared" si="288"/>
        <v>-138</v>
      </c>
      <c r="I345">
        <f t="shared" si="289"/>
        <v>-111</v>
      </c>
      <c r="J345">
        <f t="shared" si="268"/>
        <v>-85.5</v>
      </c>
      <c r="K345">
        <v>0</v>
      </c>
      <c r="L345">
        <f t="shared" si="269"/>
        <v>-82.5</v>
      </c>
      <c r="M345">
        <f t="shared" si="290"/>
        <v>-35</v>
      </c>
      <c r="N345">
        <f t="shared" si="291"/>
        <v>60</v>
      </c>
    </row>
    <row r="346" spans="1:14" ht="12.75">
      <c r="A346" s="2">
        <v>38273.59444444445</v>
      </c>
      <c r="B346">
        <f t="shared" si="286"/>
        <v>131</v>
      </c>
      <c r="C346">
        <f t="shared" si="287"/>
        <v>27</v>
      </c>
      <c r="D346">
        <f>11+5</f>
        <v>16</v>
      </c>
      <c r="E346">
        <f>15+20+5+11+27</f>
        <v>78</v>
      </c>
      <c r="F346">
        <f>11+5+4+10+13+9</f>
        <v>52</v>
      </c>
      <c r="G346">
        <f>55+7+4+4+21+10+3+31+12+3+3+7+7+21+4+17+10+15</f>
        <v>234</v>
      </c>
      <c r="H346">
        <f t="shared" si="288"/>
        <v>-138</v>
      </c>
      <c r="I346">
        <f t="shared" si="289"/>
        <v>-111</v>
      </c>
      <c r="J346">
        <f t="shared" si="268"/>
        <v>-96.5</v>
      </c>
      <c r="K346">
        <v>0</v>
      </c>
      <c r="L346">
        <f t="shared" si="269"/>
        <v>-93.5</v>
      </c>
      <c r="M346">
        <f t="shared" si="290"/>
        <v>-17</v>
      </c>
      <c r="N346">
        <f t="shared" si="291"/>
        <v>35</v>
      </c>
    </row>
    <row r="347" spans="1:14" ht="12.75">
      <c r="A347" s="2">
        <v>38274.62777777778</v>
      </c>
      <c r="B347">
        <f t="shared" si="286"/>
        <v>131</v>
      </c>
      <c r="C347">
        <f t="shared" si="287"/>
        <v>27</v>
      </c>
      <c r="D347">
        <f>11+5</f>
        <v>16</v>
      </c>
      <c r="E347">
        <f>15+20+5+11</f>
        <v>51</v>
      </c>
      <c r="F347">
        <f>11+5+4+10+13+9+27</f>
        <v>79</v>
      </c>
      <c r="G347">
        <f>55+7+4+4+21+10+3+31+12+3+3+7+7+21+4+17+10+15</f>
        <v>234</v>
      </c>
      <c r="H347">
        <f t="shared" si="288"/>
        <v>-138</v>
      </c>
      <c r="I347">
        <f t="shared" si="289"/>
        <v>-111</v>
      </c>
      <c r="J347">
        <f aca="true" t="shared" si="292" ref="J347:J352">B347+C347+D347-269-1.5</f>
        <v>-96.5</v>
      </c>
      <c r="K347">
        <v>0</v>
      </c>
      <c r="L347">
        <f aca="true" t="shared" si="293" ref="L347:L352">269-G347-F347-E347+1.5</f>
        <v>-93.5</v>
      </c>
      <c r="M347">
        <f t="shared" si="290"/>
        <v>-44</v>
      </c>
      <c r="N347">
        <f t="shared" si="291"/>
        <v>35</v>
      </c>
    </row>
    <row r="348" spans="1:14" ht="12.75">
      <c r="A348" s="2">
        <v>38275.64513888889</v>
      </c>
      <c r="B348">
        <f t="shared" si="286"/>
        <v>131</v>
      </c>
      <c r="C348">
        <f t="shared" si="287"/>
        <v>27</v>
      </c>
      <c r="D348">
        <f>11+5</f>
        <v>16</v>
      </c>
      <c r="E348">
        <f>15+20+5+11+27</f>
        <v>78</v>
      </c>
      <c r="F348">
        <f>11+5+4+10+13+9</f>
        <v>52</v>
      </c>
      <c r="G348">
        <f>55+7+4+4+21+10+3+31+12+3+3+7+7+21+4+17+10+15</f>
        <v>234</v>
      </c>
      <c r="H348">
        <f t="shared" si="288"/>
        <v>-138</v>
      </c>
      <c r="I348">
        <f t="shared" si="289"/>
        <v>-111</v>
      </c>
      <c r="J348">
        <f t="shared" si="292"/>
        <v>-96.5</v>
      </c>
      <c r="K348">
        <v>0</v>
      </c>
      <c r="L348">
        <f t="shared" si="293"/>
        <v>-93.5</v>
      </c>
      <c r="M348">
        <f t="shared" si="290"/>
        <v>-17</v>
      </c>
      <c r="N348">
        <f t="shared" si="291"/>
        <v>35</v>
      </c>
    </row>
    <row r="349" spans="1:14" ht="12.75">
      <c r="A349" s="2">
        <v>38276.69375</v>
      </c>
      <c r="B349">
        <f t="shared" si="286"/>
        <v>131</v>
      </c>
      <c r="C349">
        <f t="shared" si="287"/>
        <v>27</v>
      </c>
      <c r="D349">
        <f>11+5</f>
        <v>16</v>
      </c>
      <c r="E349">
        <f>15+20+5+11+27</f>
        <v>78</v>
      </c>
      <c r="F349">
        <f>11+5+4+10+13+9+4</f>
        <v>56</v>
      </c>
      <c r="G349">
        <f>55+7+4+4+21+10+3+31+12+3+3+7+7+21+17+10+15</f>
        <v>230</v>
      </c>
      <c r="H349">
        <f aca="true" t="shared" si="294" ref="H349:H355">B349-269</f>
        <v>-138</v>
      </c>
      <c r="I349">
        <f aca="true" t="shared" si="295" ref="I349:I355">B349+C349-269</f>
        <v>-111</v>
      </c>
      <c r="J349">
        <f t="shared" si="292"/>
        <v>-96.5</v>
      </c>
      <c r="K349">
        <v>0</v>
      </c>
      <c r="L349">
        <f t="shared" si="293"/>
        <v>-93.5</v>
      </c>
      <c r="M349">
        <f aca="true" t="shared" si="296" ref="M349:M355">269-G349-F349</f>
        <v>-17</v>
      </c>
      <c r="N349">
        <f aca="true" t="shared" si="297" ref="N349:N355">269-G349</f>
        <v>39</v>
      </c>
    </row>
    <row r="350" spans="1:14" ht="12.75">
      <c r="A350" s="2">
        <v>38277.845138888886</v>
      </c>
      <c r="B350">
        <f t="shared" si="286"/>
        <v>131</v>
      </c>
      <c r="C350">
        <f>3+6+15</f>
        <v>24</v>
      </c>
      <c r="D350">
        <f>11+5+3</f>
        <v>19</v>
      </c>
      <c r="E350">
        <f>15+20+5+11+27</f>
        <v>78</v>
      </c>
      <c r="F350">
        <f>11+5+4+10+13+9+4</f>
        <v>56</v>
      </c>
      <c r="G350">
        <f>55+7+4+4+21+10+3+31+12+3+3+7+7+21+17+10+15</f>
        <v>230</v>
      </c>
      <c r="H350">
        <f t="shared" si="294"/>
        <v>-138</v>
      </c>
      <c r="I350">
        <f t="shared" si="295"/>
        <v>-114</v>
      </c>
      <c r="J350">
        <f t="shared" si="292"/>
        <v>-96.5</v>
      </c>
      <c r="K350">
        <v>0</v>
      </c>
      <c r="L350">
        <f t="shared" si="293"/>
        <v>-93.5</v>
      </c>
      <c r="M350">
        <f t="shared" si="296"/>
        <v>-17</v>
      </c>
      <c r="N350">
        <f t="shared" si="297"/>
        <v>39</v>
      </c>
    </row>
    <row r="351" spans="1:14" ht="12.75">
      <c r="A351" s="2">
        <v>38278.950694444444</v>
      </c>
      <c r="B351">
        <f t="shared" si="286"/>
        <v>131</v>
      </c>
      <c r="C351">
        <f>3+6+15</f>
        <v>24</v>
      </c>
      <c r="D351">
        <f>11+5+3</f>
        <v>19</v>
      </c>
      <c r="E351">
        <f>15+20+5+11+27</f>
        <v>78</v>
      </c>
      <c r="F351">
        <f>11+5+4+10+13+9+4</f>
        <v>56</v>
      </c>
      <c r="G351">
        <f>55+7+4+4+21+10+3+31+12+3+3+7+7+21+17+10+15</f>
        <v>230</v>
      </c>
      <c r="H351">
        <f t="shared" si="294"/>
        <v>-138</v>
      </c>
      <c r="I351">
        <f t="shared" si="295"/>
        <v>-114</v>
      </c>
      <c r="J351">
        <f t="shared" si="292"/>
        <v>-96.5</v>
      </c>
      <c r="K351">
        <v>0</v>
      </c>
      <c r="L351">
        <f t="shared" si="293"/>
        <v>-93.5</v>
      </c>
      <c r="M351">
        <f t="shared" si="296"/>
        <v>-17</v>
      </c>
      <c r="N351">
        <f t="shared" si="297"/>
        <v>39</v>
      </c>
    </row>
    <row r="352" spans="1:14" ht="12.75">
      <c r="A352" s="2">
        <v>38279.74444444444</v>
      </c>
      <c r="B352">
        <f t="shared" si="286"/>
        <v>131</v>
      </c>
      <c r="C352">
        <f>3+6+15</f>
        <v>24</v>
      </c>
      <c r="D352">
        <f>11+5+3</f>
        <v>19</v>
      </c>
      <c r="E352">
        <f>15+20+5+11+27</f>
        <v>78</v>
      </c>
      <c r="F352">
        <f>11+5+4+10+13+9+4</f>
        <v>56</v>
      </c>
      <c r="G352">
        <f>55+7+4+4+21+10+3+31+12+3+3+7+7+21+17+10+15</f>
        <v>230</v>
      </c>
      <c r="H352">
        <f t="shared" si="294"/>
        <v>-138</v>
      </c>
      <c r="I352">
        <f t="shared" si="295"/>
        <v>-114</v>
      </c>
      <c r="J352">
        <f t="shared" si="292"/>
        <v>-96.5</v>
      </c>
      <c r="K352">
        <v>0</v>
      </c>
      <c r="L352">
        <f t="shared" si="293"/>
        <v>-93.5</v>
      </c>
      <c r="M352">
        <f t="shared" si="296"/>
        <v>-17</v>
      </c>
      <c r="N352">
        <f t="shared" si="297"/>
        <v>39</v>
      </c>
    </row>
    <row r="353" spans="1:14" ht="12.75">
      <c r="A353" s="2">
        <v>38280.60902777778</v>
      </c>
      <c r="B353">
        <f t="shared" si="286"/>
        <v>131</v>
      </c>
      <c r="C353">
        <f>3+6+15</f>
        <v>24</v>
      </c>
      <c r="D353">
        <f>11+5+3</f>
        <v>19</v>
      </c>
      <c r="E353">
        <f>15+20+5+11+27+9</f>
        <v>87</v>
      </c>
      <c r="F353">
        <f>11+5+4+10+13+4</f>
        <v>47</v>
      </c>
      <c r="G353">
        <f>55+7+4+4+21+10+3+31+12+3+3+7+7+21+17+10+15</f>
        <v>230</v>
      </c>
      <c r="H353">
        <f t="shared" si="294"/>
        <v>-138</v>
      </c>
      <c r="I353">
        <f t="shared" si="295"/>
        <v>-114</v>
      </c>
      <c r="J353">
        <f aca="true" t="shared" si="298" ref="J353:J358">B353+C353+D353-269-1.5</f>
        <v>-96.5</v>
      </c>
      <c r="K353">
        <v>0</v>
      </c>
      <c r="L353">
        <f aca="true" t="shared" si="299" ref="L353:L358">269-G353-F353-E353+1.5</f>
        <v>-93.5</v>
      </c>
      <c r="M353">
        <f t="shared" si="296"/>
        <v>-8</v>
      </c>
      <c r="N353">
        <f t="shared" si="297"/>
        <v>39</v>
      </c>
    </row>
    <row r="354" spans="1:14" ht="12.75">
      <c r="A354" s="2">
        <v>38281.6375</v>
      </c>
      <c r="B354">
        <f t="shared" si="286"/>
        <v>131</v>
      </c>
      <c r="C354">
        <f>3+6+15</f>
        <v>24</v>
      </c>
      <c r="D354">
        <f>11+5+3</f>
        <v>19</v>
      </c>
      <c r="E354">
        <f>15+20+5+11+27+9</f>
        <v>87</v>
      </c>
      <c r="F354">
        <f>5+4+10+13</f>
        <v>32</v>
      </c>
      <c r="G354">
        <f>55+7+4+4+21+10+3+31+12+3+3+7+7+21+17+10+15+4+11</f>
        <v>245</v>
      </c>
      <c r="H354">
        <f t="shared" si="294"/>
        <v>-138</v>
      </c>
      <c r="I354">
        <f t="shared" si="295"/>
        <v>-114</v>
      </c>
      <c r="J354">
        <f t="shared" si="298"/>
        <v>-96.5</v>
      </c>
      <c r="K354">
        <v>0</v>
      </c>
      <c r="L354">
        <f t="shared" si="299"/>
        <v>-93.5</v>
      </c>
      <c r="M354">
        <f t="shared" si="296"/>
        <v>-8</v>
      </c>
      <c r="N354">
        <f t="shared" si="297"/>
        <v>24</v>
      </c>
    </row>
    <row r="355" spans="1:14" ht="12.75">
      <c r="A355" s="2">
        <v>38282.62569444445</v>
      </c>
      <c r="B355">
        <f t="shared" si="286"/>
        <v>131</v>
      </c>
      <c r="C355">
        <f>3+6+15+5</f>
        <v>29</v>
      </c>
      <c r="D355">
        <f>11+3</f>
        <v>14</v>
      </c>
      <c r="E355">
        <f>15+5+11+27+9</f>
        <v>67</v>
      </c>
      <c r="F355">
        <f>5+4+13+20</f>
        <v>42</v>
      </c>
      <c r="G355">
        <f>55+7+4+4+21+10+3+31+12+3+3+7+7+21+17+10+15+4+11+10</f>
        <v>255</v>
      </c>
      <c r="H355">
        <f t="shared" si="294"/>
        <v>-138</v>
      </c>
      <c r="I355">
        <f t="shared" si="295"/>
        <v>-109</v>
      </c>
      <c r="J355">
        <f t="shared" si="298"/>
        <v>-96.5</v>
      </c>
      <c r="K355">
        <v>0</v>
      </c>
      <c r="L355">
        <f t="shared" si="299"/>
        <v>-93.5</v>
      </c>
      <c r="M355">
        <f t="shared" si="296"/>
        <v>-28</v>
      </c>
      <c r="N355">
        <f t="shared" si="297"/>
        <v>14</v>
      </c>
    </row>
    <row r="356" spans="1:14" ht="12.75">
      <c r="A356" s="2">
        <v>38283.68472222222</v>
      </c>
      <c r="B356">
        <f t="shared" si="286"/>
        <v>131</v>
      </c>
      <c r="C356">
        <f>3+6+5</f>
        <v>14</v>
      </c>
      <c r="D356">
        <f>11+3+15</f>
        <v>29</v>
      </c>
      <c r="E356">
        <f>15+5+11+27+9+13</f>
        <v>80</v>
      </c>
      <c r="F356">
        <f>5+4+20</f>
        <v>29</v>
      </c>
      <c r="G356">
        <f>55+7+4+4+21+10+3+31+12+3+3+7+7+21+17+10+15+4+11+10</f>
        <v>255</v>
      </c>
      <c r="H356">
        <f>B356-269</f>
        <v>-138</v>
      </c>
      <c r="I356">
        <f>B356+C356-269</f>
        <v>-124</v>
      </c>
      <c r="J356">
        <f t="shared" si="298"/>
        <v>-96.5</v>
      </c>
      <c r="K356">
        <v>0</v>
      </c>
      <c r="L356">
        <f t="shared" si="299"/>
        <v>-93.5</v>
      </c>
      <c r="M356">
        <f>269-G356-F356</f>
        <v>-15</v>
      </c>
      <c r="N356">
        <f>269-G356</f>
        <v>14</v>
      </c>
    </row>
    <row r="357" spans="1:14" ht="12.75">
      <c r="A357" s="2">
        <v>38284.899305555555</v>
      </c>
      <c r="B357">
        <f t="shared" si="286"/>
        <v>131</v>
      </c>
      <c r="C357">
        <f>3+6+5</f>
        <v>14</v>
      </c>
      <c r="D357">
        <f>11+3+15</f>
        <v>29</v>
      </c>
      <c r="E357">
        <f>15+5+11+27+9+13</f>
        <v>80</v>
      </c>
      <c r="F357">
        <f>5+4+20</f>
        <v>29</v>
      </c>
      <c r="G357">
        <f>55+7+4+4+21+10+3+31+12+3+3+7+7+21+17+10+15+4+11+10</f>
        <v>255</v>
      </c>
      <c r="H357">
        <f>B357-269</f>
        <v>-138</v>
      </c>
      <c r="I357">
        <f>B357+C357-269</f>
        <v>-124</v>
      </c>
      <c r="J357">
        <f t="shared" si="298"/>
        <v>-96.5</v>
      </c>
      <c r="K357">
        <v>0</v>
      </c>
      <c r="L357">
        <f t="shared" si="299"/>
        <v>-93.5</v>
      </c>
      <c r="M357">
        <f>269-G357-F357</f>
        <v>-15</v>
      </c>
      <c r="N357">
        <f>269-G357</f>
        <v>14</v>
      </c>
    </row>
    <row r="358" spans="1:14" ht="12.75">
      <c r="A358" s="2">
        <v>38285.861805555556</v>
      </c>
      <c r="B358">
        <f>11+8+6+9+6+4+9+7+5+5+3+3+3+10+34+8+6</f>
        <v>137</v>
      </c>
      <c r="C358">
        <f>3+5</f>
        <v>8</v>
      </c>
      <c r="D358">
        <f>11+3+15</f>
        <v>29</v>
      </c>
      <c r="E358">
        <f>15+5+11+27</f>
        <v>58</v>
      </c>
      <c r="F358">
        <f>5+4+20+9+13</f>
        <v>51</v>
      </c>
      <c r="G358">
        <f>55+7+4+4+21+10+3+31+12+3+3+7+7+21+17+10+15+4+11+10</f>
        <v>255</v>
      </c>
      <c r="H358">
        <f>B358-269</f>
        <v>-132</v>
      </c>
      <c r="I358">
        <f>B358+C358-269</f>
        <v>-124</v>
      </c>
      <c r="J358">
        <f t="shared" si="298"/>
        <v>-96.5</v>
      </c>
      <c r="K358">
        <v>0</v>
      </c>
      <c r="L358">
        <f t="shared" si="299"/>
        <v>-93.5</v>
      </c>
      <c r="M358">
        <f>269-G358-F358</f>
        <v>-37</v>
      </c>
      <c r="N358">
        <f>269-G358</f>
        <v>14</v>
      </c>
    </row>
    <row r="359" spans="1:14" ht="12.75">
      <c r="A359" s="2">
        <v>38286.55694444444</v>
      </c>
      <c r="B359">
        <f>11+8+6+9+6+4+9+7+5+5+3+3+3+10+34+8+6</f>
        <v>137</v>
      </c>
      <c r="C359">
        <f>3+5</f>
        <v>8</v>
      </c>
      <c r="D359">
        <f>11+3+15</f>
        <v>29</v>
      </c>
      <c r="E359">
        <f>15+5+11+27</f>
        <v>58</v>
      </c>
      <c r="F359">
        <f>5+4+20+9+13</f>
        <v>51</v>
      </c>
      <c r="G359">
        <f>55+7+4+4+21+10+3+31+12+3+3+7+7+21+17+10+15+4+11+10</f>
        <v>255</v>
      </c>
      <c r="H359">
        <f>B359-269</f>
        <v>-132</v>
      </c>
      <c r="I359">
        <f>B359+C359-269</f>
        <v>-124</v>
      </c>
      <c r="J359">
        <f>B359+C359+D359-269-1.5</f>
        <v>-96.5</v>
      </c>
      <c r="K359">
        <v>0</v>
      </c>
      <c r="L359">
        <f>269-G359-F359-E359+1.5</f>
        <v>-93.5</v>
      </c>
      <c r="M359">
        <f>269-G359-F359</f>
        <v>-37</v>
      </c>
      <c r="N359">
        <f>269-G359</f>
        <v>14</v>
      </c>
    </row>
    <row r="360" spans="1:14" ht="12.75">
      <c r="A360" s="2">
        <v>38287.62013888889</v>
      </c>
      <c r="B360">
        <f>11+8+6+9+6+4+9+7+5+5+3+3+3+34+8+6</f>
        <v>127</v>
      </c>
      <c r="C360">
        <f>3+5+10</f>
        <v>18</v>
      </c>
      <c r="D360">
        <f>11+3+15</f>
        <v>29</v>
      </c>
      <c r="E360">
        <f>15+5+11+27+20</f>
        <v>78</v>
      </c>
      <c r="F360">
        <f>5+4+9+13</f>
        <v>31</v>
      </c>
      <c r="G360">
        <f>55+7+4+4+21+10+3+31+12+3+3+7+7+21+17+10+15+4+11+10</f>
        <v>255</v>
      </c>
      <c r="H360">
        <f>B360-269</f>
        <v>-142</v>
      </c>
      <c r="I360">
        <f>B360+C360-269</f>
        <v>-124</v>
      </c>
      <c r="J360">
        <f>B360+C360+D360-269-1.5</f>
        <v>-96.5</v>
      </c>
      <c r="K360">
        <v>0</v>
      </c>
      <c r="L360">
        <f>269-G360-F360-E360+1.5</f>
        <v>-93.5</v>
      </c>
      <c r="M360">
        <f>269-G360-F360</f>
        <v>-17</v>
      </c>
      <c r="N360">
        <f>269-G360</f>
        <v>14</v>
      </c>
    </row>
    <row r="361" spans="1:14" ht="12.75">
      <c r="A361" s="2">
        <v>38288.68958333333</v>
      </c>
      <c r="B361">
        <f>11+8+6+9+6+4+9+7+5+5+3+3+3+34+8+6</f>
        <v>127</v>
      </c>
      <c r="C361">
        <f>5</f>
        <v>5</v>
      </c>
      <c r="D361">
        <f>3+15+3+10</f>
        <v>31</v>
      </c>
      <c r="E361">
        <f>15+11+27+11</f>
        <v>64</v>
      </c>
      <c r="F361">
        <f>5+9+13+20+5</f>
        <v>52</v>
      </c>
      <c r="G361">
        <f>55+7+4+4+21+10+3+31+12+3+3+7+7+21+17+10+15+4+11+10+4</f>
        <v>259</v>
      </c>
      <c r="H361">
        <f>B361-269</f>
        <v>-142</v>
      </c>
      <c r="I361">
        <f>B361+C361-269</f>
        <v>-137</v>
      </c>
      <c r="J361">
        <f>B361+C361+D361-269-1.5</f>
        <v>-107.5</v>
      </c>
      <c r="K361">
        <v>0</v>
      </c>
      <c r="L361">
        <f>269-G361-F361-E361+1.5</f>
        <v>-104.5</v>
      </c>
      <c r="M361">
        <f>269-G361-F361</f>
        <v>-42</v>
      </c>
      <c r="N361">
        <f>269-G361</f>
        <v>10</v>
      </c>
    </row>
    <row r="362" spans="1:14" ht="12.75">
      <c r="A362" s="2">
        <v>38289.62777777778</v>
      </c>
      <c r="B362">
        <f>11+8+6+9+6+4+9+7+5+5+3+3+3+34+8+6</f>
        <v>127</v>
      </c>
      <c r="C362">
        <f>5+10</f>
        <v>15</v>
      </c>
      <c r="D362">
        <f>3+15+3</f>
        <v>21</v>
      </c>
      <c r="E362">
        <f>15+11+27+11</f>
        <v>64</v>
      </c>
      <c r="F362">
        <f>5+9+13+20+5+21+10</f>
        <v>83</v>
      </c>
      <c r="G362">
        <f>55+7+4+4+10+3+31+12+3+3+7+7+21+17+10+15+4+11+4</f>
        <v>228</v>
      </c>
      <c r="H362">
        <f>B362-269</f>
        <v>-142</v>
      </c>
      <c r="I362">
        <f>B362+C362-269</f>
        <v>-127</v>
      </c>
      <c r="J362">
        <f>B362+C362+D362-269-1.5</f>
        <v>-107.5</v>
      </c>
      <c r="K362">
        <v>0</v>
      </c>
      <c r="L362">
        <f>269-G362-F362-E362+1.5</f>
        <v>-104.5</v>
      </c>
      <c r="M362">
        <f>269-G362-F362</f>
        <v>-42</v>
      </c>
      <c r="N362">
        <f>269-G362</f>
        <v>41</v>
      </c>
    </row>
    <row r="363" spans="1:14" ht="12.75">
      <c r="A363" s="2">
        <v>38290.56319444445</v>
      </c>
      <c r="B363">
        <f>11+8+6+9+6+4+9+7+5+5+3+3+3+34+8+6</f>
        <v>127</v>
      </c>
      <c r="C363">
        <f>5+10</f>
        <v>15</v>
      </c>
      <c r="D363">
        <f>3+15+3+11</f>
        <v>32</v>
      </c>
      <c r="E363">
        <f>15+11+27</f>
        <v>53</v>
      </c>
      <c r="F363">
        <f>5+9+13+20+5+21</f>
        <v>73</v>
      </c>
      <c r="G363">
        <f>55+7+4+4+10+3+31+12+3+3+7+7+21+17+10+15+4+11+4+10</f>
        <v>238</v>
      </c>
      <c r="H363">
        <f>B363-269</f>
        <v>-142</v>
      </c>
      <c r="I363">
        <f>B363+C363-269</f>
        <v>-127</v>
      </c>
      <c r="J363">
        <f>B363+C363+D363-269-1.5</f>
        <v>-96.5</v>
      </c>
      <c r="K363">
        <v>0</v>
      </c>
      <c r="L363">
        <f>269-G363-F363-E363+1.5</f>
        <v>-93.5</v>
      </c>
      <c r="M363">
        <f>269-G363-F363</f>
        <v>-42</v>
      </c>
      <c r="N363">
        <f>269-G363</f>
        <v>31</v>
      </c>
    </row>
    <row r="364" spans="1:14" ht="12.75">
      <c r="A364" s="2">
        <v>38291.89444444444</v>
      </c>
      <c r="B364">
        <f>11+8+6+9+6+4+9+7+5+5+3+3+3+34+8+6</f>
        <v>127</v>
      </c>
      <c r="C364">
        <f>5</f>
        <v>5</v>
      </c>
      <c r="D364">
        <f>3+15+3+11+10+11</f>
        <v>53</v>
      </c>
      <c r="E364">
        <f>15+27</f>
        <v>42</v>
      </c>
      <c r="F364">
        <f>5+9+13+20+5+21</f>
        <v>73</v>
      </c>
      <c r="G364">
        <f>55+7+4+4+10+3+31+12+3+3+7+7+21+17+10+15+4+11+10+4</f>
        <v>238</v>
      </c>
      <c r="H364">
        <f>B364-269</f>
        <v>-142</v>
      </c>
      <c r="I364">
        <f>B364+C364-269</f>
        <v>-137</v>
      </c>
      <c r="J364">
        <f>B364+C364+D364-269-1.5</f>
        <v>-85.5</v>
      </c>
      <c r="K364">
        <v>0</v>
      </c>
      <c r="L364">
        <f>269-G364-F364-E364+1.5</f>
        <v>-82.5</v>
      </c>
      <c r="M364">
        <f>269-G364-F364</f>
        <v>-42</v>
      </c>
      <c r="N364">
        <f>269-G364</f>
        <v>31</v>
      </c>
    </row>
    <row r="365" spans="1:14" ht="12.75">
      <c r="A365" s="2">
        <v>38292.768055555556</v>
      </c>
      <c r="B365">
        <f>11+8+6+9+6+4+9+7+5+5+3+3+3+34+8+6</f>
        <v>127</v>
      </c>
      <c r="C365">
        <f>5</f>
        <v>5</v>
      </c>
      <c r="D365">
        <f>3+15+3+11+10+11</f>
        <v>53</v>
      </c>
      <c r="E365">
        <f>15+27+20</f>
        <v>62</v>
      </c>
      <c r="F365">
        <f>5+9+13+5+21</f>
        <v>53</v>
      </c>
      <c r="G365">
        <f>55+7+4+4+10+3+31+12+3+3+7+7+21+17+10+15+4+11+10+4</f>
        <v>238</v>
      </c>
      <c r="H365">
        <f>B365-269</f>
        <v>-142</v>
      </c>
      <c r="I365">
        <f>B365+C365-269</f>
        <v>-137</v>
      </c>
      <c r="J365">
        <f>B365+C365+D365-269-1.5</f>
        <v>-85.5</v>
      </c>
      <c r="K365">
        <v>0</v>
      </c>
      <c r="L365">
        <f>269-G365-F365-E365+1.5</f>
        <v>-82.5</v>
      </c>
      <c r="M365">
        <f>269-G365-F365</f>
        <v>-22</v>
      </c>
      <c r="N365">
        <f>269-G365</f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1">
      <selection activeCell="C7" sqref="C7"/>
    </sheetView>
  </sheetViews>
  <sheetFormatPr defaultColWidth="11.00390625" defaultRowHeight="12.75"/>
  <sheetData>
    <row r="3" spans="3:7" ht="12.75">
      <c r="C3" s="3" t="s">
        <v>29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41</v>
      </c>
      <c r="D5">
        <v>50</v>
      </c>
      <c r="E5">
        <f aca="true" t="shared" si="0" ref="E5:F12">AVERAGE(C1:C5)</f>
        <v>41</v>
      </c>
      <c r="F5">
        <f t="shared" si="0"/>
        <v>50</v>
      </c>
      <c r="G5">
        <f aca="true" t="shared" si="1" ref="G5:G12">F5-E5</f>
        <v>9</v>
      </c>
      <c r="H5" s="1">
        <v>38044</v>
      </c>
    </row>
    <row r="6" spans="1:8" ht="12.75">
      <c r="A6" s="1">
        <v>38246</v>
      </c>
      <c r="B6" t="s">
        <v>169</v>
      </c>
      <c r="C6">
        <v>43</v>
      </c>
      <c r="D6">
        <v>55</v>
      </c>
      <c r="E6">
        <f t="shared" si="0"/>
        <v>42</v>
      </c>
      <c r="F6">
        <f t="shared" si="0"/>
        <v>52.5</v>
      </c>
      <c r="G6">
        <f t="shared" si="1"/>
        <v>10.5</v>
      </c>
      <c r="H6" s="1">
        <v>38242</v>
      </c>
    </row>
    <row r="7" spans="1:8" ht="12.75">
      <c r="A7" s="1">
        <v>38247</v>
      </c>
      <c r="B7" t="s">
        <v>59</v>
      </c>
      <c r="C7">
        <v>40</v>
      </c>
      <c r="D7">
        <v>51</v>
      </c>
      <c r="E7">
        <f t="shared" si="0"/>
        <v>41.333333333333336</v>
      </c>
      <c r="F7">
        <f t="shared" si="0"/>
        <v>52</v>
      </c>
      <c r="G7">
        <f t="shared" si="1"/>
        <v>10.666666666666664</v>
      </c>
      <c r="H7" s="1">
        <v>38242</v>
      </c>
    </row>
    <row r="8" spans="1:8" ht="12.75">
      <c r="A8" s="1">
        <v>38255</v>
      </c>
      <c r="B8" t="s">
        <v>53</v>
      </c>
      <c r="C8">
        <v>36</v>
      </c>
      <c r="D8">
        <v>56</v>
      </c>
      <c r="E8">
        <f t="shared" si="0"/>
        <v>40</v>
      </c>
      <c r="F8">
        <f t="shared" si="0"/>
        <v>53</v>
      </c>
      <c r="G8">
        <f t="shared" si="1"/>
        <v>13</v>
      </c>
      <c r="H8" s="1">
        <v>38250</v>
      </c>
    </row>
    <row r="9" spans="1:8" ht="12.75">
      <c r="A9" s="1">
        <v>38254</v>
      </c>
      <c r="B9" t="s">
        <v>126</v>
      </c>
      <c r="C9">
        <v>37</v>
      </c>
      <c r="D9">
        <v>57</v>
      </c>
      <c r="E9">
        <f t="shared" si="0"/>
        <v>39.4</v>
      </c>
      <c r="F9">
        <f t="shared" si="0"/>
        <v>53.8</v>
      </c>
      <c r="G9">
        <f t="shared" si="1"/>
        <v>14.399999999999999</v>
      </c>
      <c r="H9" s="1">
        <v>38252</v>
      </c>
    </row>
    <row r="10" spans="1:8" ht="12.75">
      <c r="A10" s="1">
        <v>38274</v>
      </c>
      <c r="B10" t="s">
        <v>222</v>
      </c>
      <c r="C10">
        <v>38</v>
      </c>
      <c r="D10">
        <v>56</v>
      </c>
      <c r="E10">
        <f t="shared" si="0"/>
        <v>38.8</v>
      </c>
      <c r="F10">
        <f t="shared" si="0"/>
        <v>55</v>
      </c>
      <c r="G10">
        <f t="shared" si="1"/>
        <v>16.200000000000003</v>
      </c>
      <c r="H10" s="1">
        <v>38267</v>
      </c>
    </row>
    <row r="11" spans="1:11" ht="12.75">
      <c r="A11" s="1">
        <v>38274</v>
      </c>
      <c r="B11" t="s">
        <v>169</v>
      </c>
      <c r="C11">
        <v>41</v>
      </c>
      <c r="D11">
        <v>56</v>
      </c>
      <c r="E11">
        <f t="shared" si="0"/>
        <v>38.4</v>
      </c>
      <c r="F11">
        <f t="shared" si="0"/>
        <v>55.2</v>
      </c>
      <c r="G11">
        <f t="shared" si="1"/>
        <v>16.800000000000004</v>
      </c>
      <c r="H11" s="1">
        <v>38269</v>
      </c>
      <c r="I11">
        <f>AVERAGE(C10:C11)</f>
        <v>39.5</v>
      </c>
      <c r="J11">
        <f>AVERAGE(D10:D11)</f>
        <v>56</v>
      </c>
      <c r="K11">
        <f>J11-I11</f>
        <v>16.5</v>
      </c>
    </row>
    <row r="12" spans="1:8" ht="12.75">
      <c r="A12" s="1">
        <v>38289</v>
      </c>
      <c r="B12" t="s">
        <v>126</v>
      </c>
      <c r="C12">
        <v>33</v>
      </c>
      <c r="D12">
        <v>63</v>
      </c>
      <c r="E12">
        <f t="shared" si="0"/>
        <v>37</v>
      </c>
      <c r="F12">
        <f t="shared" si="0"/>
        <v>57.6</v>
      </c>
      <c r="G12">
        <f t="shared" si="1"/>
        <v>20.6</v>
      </c>
      <c r="H12" s="1">
        <v>38287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F5" sqref="F5"/>
    </sheetView>
  </sheetViews>
  <sheetFormatPr defaultColWidth="11.00390625" defaultRowHeight="12.75"/>
  <sheetData>
    <row r="3" spans="3:7" ht="12.75">
      <c r="C3" s="3" t="s">
        <v>18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38247</v>
      </c>
      <c r="B5" t="s">
        <v>59</v>
      </c>
      <c r="C5">
        <v>13</v>
      </c>
      <c r="D5">
        <v>82</v>
      </c>
      <c r="E5">
        <f>AVERAGE(C1:C5)</f>
        <v>13</v>
      </c>
      <c r="F5">
        <f>AVERAGE(D1:D5)</f>
        <v>82</v>
      </c>
      <c r="G5">
        <f>F5-E5</f>
        <v>69</v>
      </c>
      <c r="H5" s="1">
        <v>38242</v>
      </c>
    </row>
    <row r="6" spans="1:8" ht="12.75">
      <c r="A6" s="1"/>
      <c r="H6" s="1"/>
    </row>
    <row r="7" spans="1:8" ht="12.75">
      <c r="A7" s="1"/>
      <c r="H7" s="1"/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99"/>
  <sheetViews>
    <sheetView zoomScalePageLayoutView="0" workbookViewId="0" topLeftCell="A1">
      <pane ySplit="2080" topLeftCell="BM77" activePane="bottomLeft" state="split"/>
      <selection pane="topLeft" activeCell="A4" sqref="A4:G114"/>
      <selection pane="bottomLeft" activeCell="C97" sqref="C97"/>
    </sheetView>
  </sheetViews>
  <sheetFormatPr defaultColWidth="11.00390625" defaultRowHeight="12.75"/>
  <sheetData>
    <row r="3" spans="3:7" ht="12.75">
      <c r="C3" s="3" t="s">
        <v>300</v>
      </c>
      <c r="D3" s="3"/>
      <c r="E3" s="3"/>
      <c r="F3" s="3"/>
      <c r="G3" s="3"/>
    </row>
    <row r="4" spans="1:8" ht="12.75">
      <c r="A4" t="s">
        <v>96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97</v>
      </c>
    </row>
    <row r="5" spans="1:8" ht="12.75">
      <c r="A5" s="1">
        <v>38055</v>
      </c>
      <c r="B5" t="s">
        <v>93</v>
      </c>
      <c r="C5">
        <v>46</v>
      </c>
      <c r="D5">
        <v>40</v>
      </c>
      <c r="E5">
        <f>AVERAGE(C1:C5)</f>
        <v>46</v>
      </c>
      <c r="F5">
        <f>AVERAGE(D1:D5)</f>
        <v>40</v>
      </c>
      <c r="G5">
        <f>F5-E5</f>
        <v>-6</v>
      </c>
      <c r="H5" s="1">
        <v>37989</v>
      </c>
    </row>
    <row r="6" spans="1:8" ht="12.75">
      <c r="A6" s="1">
        <v>38055</v>
      </c>
      <c r="B6" t="s">
        <v>280</v>
      </c>
      <c r="C6">
        <v>41</v>
      </c>
      <c r="D6">
        <v>39</v>
      </c>
      <c r="E6">
        <f>AVERAGE(C2:C6)</f>
        <v>43.5</v>
      </c>
      <c r="F6">
        <f>AVERAGE(D2:D6)</f>
        <v>39.5</v>
      </c>
      <c r="G6">
        <f>F6-E6</f>
        <v>-4</v>
      </c>
      <c r="H6" s="1">
        <v>38028</v>
      </c>
    </row>
    <row r="7" spans="1:8" ht="12.75">
      <c r="A7" s="1">
        <v>38055</v>
      </c>
      <c r="B7" t="s">
        <v>169</v>
      </c>
      <c r="C7">
        <v>53</v>
      </c>
      <c r="D7">
        <v>37</v>
      </c>
      <c r="E7">
        <f>AVERAGE(C3:C7)</f>
        <v>46.666666666666664</v>
      </c>
      <c r="F7">
        <f>AVERAGE(D3:D7)</f>
        <v>38.666666666666664</v>
      </c>
      <c r="G7">
        <f>F7-E7</f>
        <v>-8</v>
      </c>
      <c r="H7" s="1">
        <v>38032</v>
      </c>
    </row>
    <row r="8" spans="1:8" ht="12.75">
      <c r="A8" s="1">
        <v>38044</v>
      </c>
      <c r="B8" t="s">
        <v>301</v>
      </c>
      <c r="C8">
        <v>47</v>
      </c>
      <c r="D8">
        <v>37</v>
      </c>
      <c r="E8">
        <f>AVERAGE(C4:C8)</f>
        <v>46.75</v>
      </c>
      <c r="F8">
        <f>AVERAGE(D4:D8)</f>
        <v>38.25</v>
      </c>
      <c r="G8">
        <f>F8-E8</f>
        <v>-8.5</v>
      </c>
      <c r="H8" s="1">
        <v>38044</v>
      </c>
    </row>
    <row r="9" spans="1:9" ht="12.75">
      <c r="A9" s="1">
        <v>38051</v>
      </c>
      <c r="B9" t="s">
        <v>126</v>
      </c>
      <c r="C9">
        <v>47</v>
      </c>
      <c r="D9">
        <v>45</v>
      </c>
      <c r="E9">
        <f>AVERAGE(C5:C9)</f>
        <v>46.8</v>
      </c>
      <c r="F9">
        <f>AVERAGE(D5:D9)</f>
        <v>39.6</v>
      </c>
      <c r="G9">
        <f>F9-E9</f>
        <v>-7.199999999999996</v>
      </c>
      <c r="H9" s="1">
        <v>38044</v>
      </c>
      <c r="I9" t="s">
        <v>74</v>
      </c>
    </row>
    <row r="10" spans="1:9" ht="12.75">
      <c r="A10" s="1">
        <v>38062</v>
      </c>
      <c r="B10" t="s">
        <v>169</v>
      </c>
      <c r="C10">
        <v>47</v>
      </c>
      <c r="D10">
        <v>43</v>
      </c>
      <c r="E10">
        <f>AVERAGE(C6:C10)</f>
        <v>47</v>
      </c>
      <c r="F10">
        <f>AVERAGE(D6:D10)</f>
        <v>40.2</v>
      </c>
      <c r="G10">
        <f>F10-E10</f>
        <v>-6.799999999999997</v>
      </c>
      <c r="H10" s="1">
        <v>38057</v>
      </c>
      <c r="I10" t="s">
        <v>74</v>
      </c>
    </row>
    <row r="11" spans="1:9" ht="12.75">
      <c r="A11" s="1">
        <v>38064</v>
      </c>
      <c r="B11" t="s">
        <v>93</v>
      </c>
      <c r="C11">
        <v>50</v>
      </c>
      <c r="D11">
        <v>39</v>
      </c>
      <c r="E11">
        <f>AVERAGE(C7:C11)</f>
        <v>48.8</v>
      </c>
      <c r="F11">
        <f>AVERAGE(D7:D11)</f>
        <v>40.2</v>
      </c>
      <c r="G11">
        <f>F11-E11</f>
        <v>-8.599999999999994</v>
      </c>
      <c r="H11" s="1">
        <v>38061</v>
      </c>
      <c r="I11" t="s">
        <v>74</v>
      </c>
    </row>
    <row r="12" spans="1:9" ht="12.75">
      <c r="A12" s="1">
        <v>38079</v>
      </c>
      <c r="B12" t="s">
        <v>280</v>
      </c>
      <c r="C12">
        <v>46</v>
      </c>
      <c r="D12">
        <v>37</v>
      </c>
      <c r="E12">
        <f>AVERAGE(C8:C12)</f>
        <v>47.4</v>
      </c>
      <c r="F12">
        <f>AVERAGE(D8:D12)</f>
        <v>40.2</v>
      </c>
      <c r="G12">
        <f>F12-E12</f>
        <v>-7.199999999999996</v>
      </c>
      <c r="H12" s="1">
        <v>38076</v>
      </c>
      <c r="I12" t="s">
        <v>74</v>
      </c>
    </row>
    <row r="13" spans="1:9" ht="12.75">
      <c r="A13" s="1">
        <v>38091</v>
      </c>
      <c r="B13" t="s">
        <v>169</v>
      </c>
      <c r="C13">
        <v>53</v>
      </c>
      <c r="D13">
        <v>38</v>
      </c>
      <c r="E13">
        <f>AVERAGE(C9:C13)</f>
        <v>48.6</v>
      </c>
      <c r="F13">
        <f>AVERAGE(D9:D13)</f>
        <v>40.4</v>
      </c>
      <c r="G13">
        <f>F13-E13</f>
        <v>-8.200000000000003</v>
      </c>
      <c r="H13" s="1">
        <v>38086</v>
      </c>
      <c r="I13" t="s">
        <v>74</v>
      </c>
    </row>
    <row r="14" spans="1:8" ht="12.75">
      <c r="A14" s="1">
        <v>38108</v>
      </c>
      <c r="B14" t="s">
        <v>280</v>
      </c>
      <c r="C14">
        <v>44</v>
      </c>
      <c r="D14">
        <v>43</v>
      </c>
      <c r="E14">
        <f>AVERAGE(C10:C14)</f>
        <v>48</v>
      </c>
      <c r="F14">
        <f>AVERAGE(D10:D14)</f>
        <v>40</v>
      </c>
      <c r="G14">
        <f>F14-E14</f>
        <v>-8</v>
      </c>
      <c r="H14" s="1">
        <v>38105</v>
      </c>
    </row>
    <row r="15" spans="1:8" ht="12.75">
      <c r="A15" s="1">
        <v>38128</v>
      </c>
      <c r="B15" t="s">
        <v>169</v>
      </c>
      <c r="C15">
        <v>50</v>
      </c>
      <c r="D15">
        <v>40</v>
      </c>
      <c r="E15">
        <f>AVERAGE(C11:C15)</f>
        <v>48.6</v>
      </c>
      <c r="F15">
        <f>AVERAGE(D11:D15)</f>
        <v>39.4</v>
      </c>
      <c r="G15">
        <f>F15-E15</f>
        <v>-9.200000000000003</v>
      </c>
      <c r="H15" s="1">
        <v>38125</v>
      </c>
    </row>
    <row r="16" spans="1:8" ht="12.75">
      <c r="A16" s="1">
        <v>38129</v>
      </c>
      <c r="B16" t="s">
        <v>280</v>
      </c>
      <c r="C16">
        <v>45</v>
      </c>
      <c r="D16">
        <v>41</v>
      </c>
      <c r="E16">
        <f>AVERAGE(C12:C16)</f>
        <v>47.6</v>
      </c>
      <c r="F16">
        <f>AVERAGE(D12:D16)</f>
        <v>39.8</v>
      </c>
      <c r="G16">
        <f>F16-E16</f>
        <v>-7.800000000000004</v>
      </c>
      <c r="H16" s="1">
        <v>38126</v>
      </c>
    </row>
    <row r="17" spans="1:8" ht="12.75">
      <c r="A17" s="1">
        <v>38155</v>
      </c>
      <c r="B17" t="s">
        <v>280</v>
      </c>
      <c r="C17">
        <v>43</v>
      </c>
      <c r="D17">
        <v>47</v>
      </c>
      <c r="E17">
        <f>AVERAGE(C13:C17)</f>
        <v>47</v>
      </c>
      <c r="F17">
        <f>AVERAGE(D13:D17)</f>
        <v>41.8</v>
      </c>
      <c r="G17">
        <f>F17-E17</f>
        <v>-5.200000000000003</v>
      </c>
      <c r="H17" s="1">
        <v>38153</v>
      </c>
    </row>
    <row r="18" spans="1:8" ht="12.75">
      <c r="A18" s="1">
        <v>38156</v>
      </c>
      <c r="B18" t="s">
        <v>59</v>
      </c>
      <c r="C18">
        <v>44</v>
      </c>
      <c r="D18">
        <v>49</v>
      </c>
      <c r="E18">
        <f>AVERAGE(C14:C18)</f>
        <v>45.2</v>
      </c>
      <c r="F18">
        <f>AVERAGE(D14:D18)</f>
        <v>44</v>
      </c>
      <c r="G18">
        <f>F18-E18</f>
        <v>-1.2000000000000028</v>
      </c>
      <c r="H18" s="1">
        <v>38154</v>
      </c>
    </row>
    <row r="19" spans="1:8" ht="12.75">
      <c r="A19" s="1">
        <v>38157</v>
      </c>
      <c r="B19" t="s">
        <v>169</v>
      </c>
      <c r="C19">
        <v>47</v>
      </c>
      <c r="D19">
        <v>39</v>
      </c>
      <c r="E19">
        <f>AVERAGE(C15:C19)</f>
        <v>45.8</v>
      </c>
      <c r="F19">
        <f>AVERAGE(D15:D19)</f>
        <v>43.2</v>
      </c>
      <c r="G19">
        <f>F19-E19</f>
        <v>-2.5999999999999943</v>
      </c>
      <c r="H19" s="1">
        <v>38155</v>
      </c>
    </row>
    <row r="20" spans="1:8" ht="12.75">
      <c r="A20" s="1">
        <v>38168</v>
      </c>
      <c r="B20" t="s">
        <v>169</v>
      </c>
      <c r="C20">
        <v>48</v>
      </c>
      <c r="D20">
        <v>41</v>
      </c>
      <c r="E20">
        <f>AVERAGE(C16:C20)</f>
        <v>45.4</v>
      </c>
      <c r="F20">
        <f>AVERAGE(D16:D20)</f>
        <v>43.4</v>
      </c>
      <c r="G20">
        <f>F20-E20</f>
        <v>-2</v>
      </c>
      <c r="H20" s="1">
        <v>38163</v>
      </c>
    </row>
    <row r="21" spans="1:8" ht="12.75">
      <c r="A21" s="1">
        <v>38169</v>
      </c>
      <c r="B21" t="s">
        <v>93</v>
      </c>
      <c r="C21">
        <v>44</v>
      </c>
      <c r="D21">
        <v>46</v>
      </c>
      <c r="E21">
        <f>AVERAGE(C17:C21)</f>
        <v>45.2</v>
      </c>
      <c r="F21">
        <f>AVERAGE(D17:D21)</f>
        <v>44.4</v>
      </c>
      <c r="G21">
        <f>F21-E21</f>
        <v>-0.8000000000000043</v>
      </c>
      <c r="H21" s="1">
        <v>38166</v>
      </c>
    </row>
    <row r="22" spans="1:8" ht="12.75">
      <c r="A22" s="1">
        <v>38170</v>
      </c>
      <c r="B22" t="s">
        <v>103</v>
      </c>
      <c r="C22">
        <v>49</v>
      </c>
      <c r="D22">
        <v>41</v>
      </c>
      <c r="E22">
        <f>AVERAGE(C18:C22)</f>
        <v>46.4</v>
      </c>
      <c r="F22">
        <f>AVERAGE(D18:D22)</f>
        <v>43.2</v>
      </c>
      <c r="G22">
        <f>F22-E22</f>
        <v>-3.1999999999999957</v>
      </c>
      <c r="H22" s="1">
        <v>38166</v>
      </c>
    </row>
    <row r="23" spans="1:8" ht="12.75">
      <c r="A23" s="1">
        <v>38176</v>
      </c>
      <c r="B23" t="s">
        <v>239</v>
      </c>
      <c r="C23">
        <v>43</v>
      </c>
      <c r="D23">
        <v>39</v>
      </c>
      <c r="E23">
        <f>AVERAGE(C19:C23)</f>
        <v>46.2</v>
      </c>
      <c r="F23">
        <f>AVERAGE(D19:D23)</f>
        <v>41.2</v>
      </c>
      <c r="G23">
        <f>F23-E23</f>
        <v>-5</v>
      </c>
      <c r="H23" s="1">
        <v>38167</v>
      </c>
    </row>
    <row r="24" spans="1:8" ht="12.75">
      <c r="A24" s="1">
        <v>38183</v>
      </c>
      <c r="B24" t="s">
        <v>207</v>
      </c>
      <c r="C24">
        <v>45</v>
      </c>
      <c r="D24">
        <v>47</v>
      </c>
      <c r="E24">
        <f>AVERAGE(C20:C24)</f>
        <v>45.8</v>
      </c>
      <c r="F24">
        <f>AVERAGE(D20:D24)</f>
        <v>42.8</v>
      </c>
      <c r="G24">
        <f>F24-E24</f>
        <v>-3</v>
      </c>
      <c r="H24" s="1">
        <v>38175</v>
      </c>
    </row>
    <row r="25" spans="1:8" ht="12.75">
      <c r="A25" s="1">
        <v>38189</v>
      </c>
      <c r="B25" t="s">
        <v>59</v>
      </c>
      <c r="C25">
        <v>47</v>
      </c>
      <c r="D25">
        <v>45</v>
      </c>
      <c r="E25">
        <f>AVERAGE(C21:C25)</f>
        <v>45.6</v>
      </c>
      <c r="F25">
        <f>AVERAGE(D21:D25)</f>
        <v>43.6</v>
      </c>
      <c r="G25">
        <f>F25-E25</f>
        <v>-2</v>
      </c>
      <c r="H25" s="1">
        <v>38188</v>
      </c>
    </row>
    <row r="26" spans="1:8" ht="12.75">
      <c r="A26" s="1">
        <v>38191</v>
      </c>
      <c r="B26" t="s">
        <v>169</v>
      </c>
      <c r="C26">
        <v>47</v>
      </c>
      <c r="D26">
        <v>49</v>
      </c>
      <c r="E26">
        <f>AVERAGE(C22:C26)</f>
        <v>46.2</v>
      </c>
      <c r="F26">
        <f>AVERAGE(D22:D26)</f>
        <v>44.2</v>
      </c>
      <c r="G26">
        <f>F26-E26</f>
        <v>-2</v>
      </c>
      <c r="H26" s="1">
        <v>38189</v>
      </c>
    </row>
    <row r="27" spans="1:8" ht="12.75">
      <c r="A27" s="1">
        <v>38203</v>
      </c>
      <c r="B27" t="s">
        <v>119</v>
      </c>
      <c r="C27">
        <v>45</v>
      </c>
      <c r="D27">
        <v>40</v>
      </c>
      <c r="E27">
        <f>AVERAGE(C23:C27)</f>
        <v>45.4</v>
      </c>
      <c r="F27">
        <f>AVERAGE(D23:D27)</f>
        <v>44</v>
      </c>
      <c r="G27">
        <f>F27-E27</f>
        <v>-1.3999999999999986</v>
      </c>
      <c r="H27" s="1">
        <v>38195</v>
      </c>
    </row>
    <row r="28" spans="1:8" ht="12.75">
      <c r="A28" s="1">
        <v>38198</v>
      </c>
      <c r="B28" t="s">
        <v>280</v>
      </c>
      <c r="C28">
        <v>44</v>
      </c>
      <c r="D28">
        <v>46</v>
      </c>
      <c r="E28">
        <f>AVERAGE(C24:C28)</f>
        <v>45.6</v>
      </c>
      <c r="F28">
        <f>AVERAGE(D24:D28)</f>
        <v>45.4</v>
      </c>
      <c r="G28">
        <f>F28-E28</f>
        <v>-0.20000000000000284</v>
      </c>
      <c r="H28" s="1">
        <v>38196</v>
      </c>
    </row>
    <row r="29" spans="1:8" ht="12.75">
      <c r="A29" s="1">
        <v>38204</v>
      </c>
      <c r="B29" t="s">
        <v>93</v>
      </c>
      <c r="C29">
        <v>47</v>
      </c>
      <c r="D29">
        <v>44</v>
      </c>
      <c r="E29">
        <f>AVERAGE(C25:C29)</f>
        <v>46</v>
      </c>
      <c r="F29">
        <f>AVERAGE(D25:D29)</f>
        <v>44.8</v>
      </c>
      <c r="G29">
        <f>F29-E29</f>
        <v>-1.2000000000000028</v>
      </c>
      <c r="H29" s="1">
        <v>38200</v>
      </c>
    </row>
    <row r="30" spans="1:8" ht="12.75">
      <c r="A30" s="1">
        <v>38203</v>
      </c>
      <c r="B30" t="s">
        <v>126</v>
      </c>
      <c r="C30">
        <v>50</v>
      </c>
      <c r="D30">
        <v>44</v>
      </c>
      <c r="E30">
        <f>AVERAGE(C26:C30)</f>
        <v>46.6</v>
      </c>
      <c r="F30">
        <f>AVERAGE(D26:D30)</f>
        <v>44.6</v>
      </c>
      <c r="G30">
        <f>F30-E30</f>
        <v>-2</v>
      </c>
      <c r="H30" s="1">
        <v>38201</v>
      </c>
    </row>
    <row r="31" spans="1:8" ht="12.75">
      <c r="A31" s="1">
        <v>38211</v>
      </c>
      <c r="B31" t="s">
        <v>152</v>
      </c>
      <c r="C31">
        <v>48</v>
      </c>
      <c r="D31">
        <v>44</v>
      </c>
      <c r="E31">
        <f>AVERAGE(C27:C31)</f>
        <v>46.8</v>
      </c>
      <c r="F31">
        <f>AVERAGE(D27:D31)</f>
        <v>43.6</v>
      </c>
      <c r="G31">
        <f>F31-E31</f>
        <v>-3.1999999999999957</v>
      </c>
      <c r="H31" s="1">
        <v>38209</v>
      </c>
    </row>
    <row r="32" spans="1:8" ht="12.75">
      <c r="A32" s="1">
        <v>38218</v>
      </c>
      <c r="B32" t="s">
        <v>169</v>
      </c>
      <c r="C32">
        <v>48</v>
      </c>
      <c r="D32">
        <v>46</v>
      </c>
      <c r="E32">
        <f>AVERAGE(C28:C32)</f>
        <v>47.4</v>
      </c>
      <c r="F32">
        <f>AVERAGE(D28:D32)</f>
        <v>44.8</v>
      </c>
      <c r="G32">
        <f>F32-E32</f>
        <v>-2.6000000000000014</v>
      </c>
      <c r="H32" s="1">
        <v>38216</v>
      </c>
    </row>
    <row r="33" spans="1:8" ht="12.75">
      <c r="A33" s="1">
        <v>38221</v>
      </c>
      <c r="B33" t="s">
        <v>41</v>
      </c>
      <c r="C33">
        <v>43</v>
      </c>
      <c r="D33">
        <v>40</v>
      </c>
      <c r="E33">
        <f>AVERAGE(C29:C33)</f>
        <v>47.2</v>
      </c>
      <c r="F33">
        <f>AVERAGE(D29:D33)</f>
        <v>43.6</v>
      </c>
      <c r="G33">
        <f>F33-E33</f>
        <v>-3.6000000000000014</v>
      </c>
      <c r="H33" s="1">
        <v>38217</v>
      </c>
    </row>
    <row r="34" spans="1:8" ht="12.75">
      <c r="A34" s="1">
        <v>38220</v>
      </c>
      <c r="B34" t="s">
        <v>59</v>
      </c>
      <c r="C34">
        <v>47</v>
      </c>
      <c r="D34">
        <v>46</v>
      </c>
      <c r="E34">
        <f>AVERAGE(C30:C34)</f>
        <v>47.2</v>
      </c>
      <c r="F34">
        <f>AVERAGE(D30:D34)</f>
        <v>44</v>
      </c>
      <c r="G34">
        <f>F34-E34</f>
        <v>-3.200000000000003</v>
      </c>
      <c r="H34" s="1">
        <v>38218</v>
      </c>
    </row>
    <row r="35" spans="1:8" ht="12.75">
      <c r="A35" s="1">
        <v>38224</v>
      </c>
      <c r="B35" t="s">
        <v>32</v>
      </c>
      <c r="C35">
        <v>42</v>
      </c>
      <c r="D35">
        <v>39</v>
      </c>
      <c r="E35">
        <f>AVERAGE(C31:C35)</f>
        <v>45.6</v>
      </c>
      <c r="F35">
        <f>AVERAGE(D31:D35)</f>
        <v>43</v>
      </c>
      <c r="G35">
        <f>F35-E35</f>
        <v>-2.6000000000000014</v>
      </c>
      <c r="H35" s="1">
        <v>38219</v>
      </c>
    </row>
    <row r="36" spans="1:8" ht="12.75">
      <c r="A36" s="1">
        <v>38224</v>
      </c>
      <c r="B36" t="s">
        <v>280</v>
      </c>
      <c r="C36">
        <v>47</v>
      </c>
      <c r="D36">
        <v>43</v>
      </c>
      <c r="E36">
        <f>AVERAGE(C32:C36)</f>
        <v>45.4</v>
      </c>
      <c r="F36">
        <f>AVERAGE(D32:D36)</f>
        <v>42.8</v>
      </c>
      <c r="G36">
        <f>F36-E36</f>
        <v>-2.6000000000000014</v>
      </c>
      <c r="H36" s="1">
        <v>38222</v>
      </c>
    </row>
    <row r="37" spans="1:8" ht="12.75">
      <c r="A37" s="1">
        <v>38225</v>
      </c>
      <c r="B37" t="s">
        <v>103</v>
      </c>
      <c r="C37">
        <v>49</v>
      </c>
      <c r="D37">
        <v>42</v>
      </c>
      <c r="E37">
        <f>AVERAGE(C33:C37)</f>
        <v>45.6</v>
      </c>
      <c r="F37">
        <f>AVERAGE(D33:D37)</f>
        <v>42</v>
      </c>
      <c r="G37">
        <f>F37-E37</f>
        <v>-3.6000000000000014</v>
      </c>
      <c r="H37" s="1">
        <v>38222</v>
      </c>
    </row>
    <row r="38" spans="1:8" ht="12.75">
      <c r="A38" s="1">
        <v>38226</v>
      </c>
      <c r="B38" t="s">
        <v>301</v>
      </c>
      <c r="C38">
        <v>44</v>
      </c>
      <c r="D38">
        <v>45</v>
      </c>
      <c r="E38">
        <f>AVERAGE(C34:C38)</f>
        <v>45.8</v>
      </c>
      <c r="F38">
        <f>AVERAGE(D34:D38)</f>
        <v>43</v>
      </c>
      <c r="G38">
        <f>F38-E38</f>
        <v>-2.799999999999997</v>
      </c>
      <c r="H38" s="1">
        <v>38224</v>
      </c>
    </row>
    <row r="39" spans="1:8" ht="12.75">
      <c r="A39" s="1">
        <v>38238</v>
      </c>
      <c r="B39" t="s">
        <v>214</v>
      </c>
      <c r="C39">
        <v>48</v>
      </c>
      <c r="D39">
        <v>48</v>
      </c>
      <c r="E39">
        <f>AVERAGE(C35:C39)</f>
        <v>46</v>
      </c>
      <c r="F39">
        <f>AVERAGE(D35:D39)</f>
        <v>43.4</v>
      </c>
      <c r="G39">
        <f>F39-E39</f>
        <v>-2.6000000000000014</v>
      </c>
      <c r="H39" s="1">
        <v>38236</v>
      </c>
    </row>
    <row r="40" spans="1:8" ht="12.75">
      <c r="A40" s="1">
        <v>38239</v>
      </c>
      <c r="B40" t="s">
        <v>93</v>
      </c>
      <c r="C40">
        <v>50</v>
      </c>
      <c r="D40">
        <v>45</v>
      </c>
      <c r="E40">
        <f>AVERAGE(C36:C40)</f>
        <v>47.6</v>
      </c>
      <c r="F40">
        <f>AVERAGE(D36:D40)</f>
        <v>44.6</v>
      </c>
      <c r="G40">
        <f>F40-E40</f>
        <v>-3</v>
      </c>
      <c r="H40" s="1">
        <v>38236</v>
      </c>
    </row>
    <row r="41" spans="1:8" ht="12.75">
      <c r="A41" s="1">
        <v>38240</v>
      </c>
      <c r="B41" t="s">
        <v>280</v>
      </c>
      <c r="C41">
        <v>50</v>
      </c>
      <c r="D41">
        <v>43</v>
      </c>
      <c r="E41">
        <f>AVERAGE(C37:C41)</f>
        <v>48.2</v>
      </c>
      <c r="F41">
        <f>AVERAGE(D37:D41)</f>
        <v>44.6</v>
      </c>
      <c r="G41">
        <f>F41-E41</f>
        <v>-3.6000000000000014</v>
      </c>
      <c r="H41" s="1">
        <v>38238</v>
      </c>
    </row>
    <row r="42" spans="1:8" ht="12.75">
      <c r="A42" s="1">
        <v>38241</v>
      </c>
      <c r="B42" t="s">
        <v>152</v>
      </c>
      <c r="C42">
        <v>50</v>
      </c>
      <c r="D42">
        <v>42</v>
      </c>
      <c r="E42">
        <f>AVERAGE(C38:C42)</f>
        <v>48.4</v>
      </c>
      <c r="F42">
        <f>AVERAGE(D38:D42)</f>
        <v>44.6</v>
      </c>
      <c r="G42">
        <f>F42-E42</f>
        <v>-3.799999999999997</v>
      </c>
      <c r="H42" s="1">
        <v>38239</v>
      </c>
    </row>
    <row r="43" spans="1:8" ht="12.75">
      <c r="A43" s="1">
        <v>38243</v>
      </c>
      <c r="B43" t="s">
        <v>41</v>
      </c>
      <c r="C43">
        <v>52.1</v>
      </c>
      <c r="D43">
        <v>41.8</v>
      </c>
      <c r="E43">
        <f>AVERAGE(C39:C43)</f>
        <v>50.019999999999996</v>
      </c>
      <c r="F43">
        <f>AVERAGE(D39:D43)</f>
        <v>43.96</v>
      </c>
      <c r="G43">
        <f>F43-E43</f>
        <v>-6.059999999999995</v>
      </c>
      <c r="H43" s="1">
        <v>38241</v>
      </c>
    </row>
    <row r="44" spans="1:8" ht="12.75">
      <c r="A44" s="1">
        <v>38245</v>
      </c>
      <c r="B44" t="s">
        <v>169</v>
      </c>
      <c r="C44">
        <v>49</v>
      </c>
      <c r="D44">
        <v>44</v>
      </c>
      <c r="E44">
        <f>AVERAGE(C40:C44)</f>
        <v>50.22</v>
      </c>
      <c r="F44">
        <f>AVERAGE(D40:D44)</f>
        <v>43.160000000000004</v>
      </c>
      <c r="G44">
        <f>F44-E44</f>
        <v>-7.059999999999995</v>
      </c>
      <c r="H44" s="1">
        <v>38243</v>
      </c>
    </row>
    <row r="45" spans="1:8" ht="12.75">
      <c r="A45" s="1">
        <v>38248</v>
      </c>
      <c r="B45" t="s">
        <v>22</v>
      </c>
      <c r="C45">
        <v>44</v>
      </c>
      <c r="D45">
        <v>44</v>
      </c>
      <c r="E45">
        <f>AVERAGE(C41:C45)</f>
        <v>49.019999999999996</v>
      </c>
      <c r="F45">
        <f>AVERAGE(D41:D45)</f>
        <v>42.96</v>
      </c>
      <c r="G45">
        <f>F45-E45</f>
        <v>-6.059999999999995</v>
      </c>
      <c r="H45" s="1">
        <v>38244</v>
      </c>
    </row>
    <row r="46" spans="1:8" ht="12.75">
      <c r="A46" s="1">
        <v>38247</v>
      </c>
      <c r="B46" t="s">
        <v>109</v>
      </c>
      <c r="C46">
        <v>44</v>
      </c>
      <c r="D46">
        <v>48</v>
      </c>
      <c r="E46">
        <f>AVERAGE(C42:C46)</f>
        <v>47.82</v>
      </c>
      <c r="F46">
        <f>AVERAGE(D42:D46)</f>
        <v>43.96</v>
      </c>
      <c r="G46">
        <f>F46-E46</f>
        <v>-3.8599999999999994</v>
      </c>
      <c r="H46" s="1">
        <v>38245</v>
      </c>
    </row>
    <row r="47" spans="1:8" ht="12.75">
      <c r="A47" s="1">
        <v>38247</v>
      </c>
      <c r="B47" t="s">
        <v>59</v>
      </c>
      <c r="C47">
        <v>46</v>
      </c>
      <c r="D47">
        <v>46</v>
      </c>
      <c r="E47">
        <f>AVERAGE(C43:C47)</f>
        <v>47.019999999999996</v>
      </c>
      <c r="F47">
        <f>AVERAGE(D43:D47)</f>
        <v>44.760000000000005</v>
      </c>
      <c r="G47">
        <f>F47-E47</f>
        <v>-2.259999999999991</v>
      </c>
      <c r="H47" s="1">
        <v>38246</v>
      </c>
    </row>
    <row r="48" spans="1:8" ht="12.75">
      <c r="A48" s="1">
        <v>38248</v>
      </c>
      <c r="B48" t="s">
        <v>126</v>
      </c>
      <c r="C48">
        <v>51</v>
      </c>
      <c r="D48">
        <v>45</v>
      </c>
      <c r="E48">
        <f>AVERAGE(C44:C48)</f>
        <v>46.8</v>
      </c>
      <c r="F48">
        <f>AVERAGE(D44:D48)</f>
        <v>45.4</v>
      </c>
      <c r="G48">
        <f>F48-E48</f>
        <v>-1.3999999999999986</v>
      </c>
      <c r="H48" s="1">
        <v>38246</v>
      </c>
    </row>
    <row r="49" spans="1:8" ht="12.75">
      <c r="A49" s="1">
        <v>38250</v>
      </c>
      <c r="B49" t="s">
        <v>245</v>
      </c>
      <c r="C49">
        <v>47</v>
      </c>
      <c r="D49">
        <v>45</v>
      </c>
      <c r="E49">
        <f>AVERAGE(C45:C49)</f>
        <v>46.4</v>
      </c>
      <c r="F49">
        <f>AVERAGE(D45:D49)</f>
        <v>45.6</v>
      </c>
      <c r="G49">
        <f>F49-E49</f>
        <v>-0.7999999999999972</v>
      </c>
      <c r="H49" s="1">
        <v>38246</v>
      </c>
    </row>
    <row r="50" spans="1:8" ht="12.75">
      <c r="A50" s="1">
        <v>38250</v>
      </c>
      <c r="B50" t="s">
        <v>58</v>
      </c>
      <c r="C50">
        <v>46</v>
      </c>
      <c r="D50">
        <v>45</v>
      </c>
      <c r="E50">
        <f>AVERAGE(C46:C50)</f>
        <v>46.8</v>
      </c>
      <c r="F50">
        <f>AVERAGE(D46:D50)</f>
        <v>45.8</v>
      </c>
      <c r="G50">
        <f>F50-E50</f>
        <v>-1</v>
      </c>
      <c r="H50" s="1">
        <v>38247</v>
      </c>
    </row>
    <row r="51" spans="1:8" ht="12.75">
      <c r="A51" s="1">
        <v>38253</v>
      </c>
      <c r="B51" t="s">
        <v>301</v>
      </c>
      <c r="C51">
        <v>45</v>
      </c>
      <c r="D51">
        <v>47</v>
      </c>
      <c r="E51">
        <f>AVERAGE(C47:C51)</f>
        <v>47</v>
      </c>
      <c r="F51">
        <f>AVERAGE(D47:D51)</f>
        <v>45.6</v>
      </c>
      <c r="G51">
        <f>F51-E51</f>
        <v>-1.3999999999999986</v>
      </c>
      <c r="H51" s="1">
        <v>38247</v>
      </c>
    </row>
    <row r="52" spans="1:8" ht="12.75">
      <c r="A52" s="1">
        <v>38252</v>
      </c>
      <c r="B52" t="s">
        <v>169</v>
      </c>
      <c r="C52">
        <v>51</v>
      </c>
      <c r="D52">
        <v>46</v>
      </c>
      <c r="E52">
        <f>AVERAGE(C48:C52)</f>
        <v>48</v>
      </c>
      <c r="F52">
        <f>AVERAGE(D48:D52)</f>
        <v>45.6</v>
      </c>
      <c r="G52">
        <f>F52-E52</f>
        <v>-2.3999999999999986</v>
      </c>
      <c r="H52" s="1">
        <v>38250</v>
      </c>
    </row>
    <row r="53" spans="1:8" ht="12.75">
      <c r="A53" s="1">
        <v>38254</v>
      </c>
      <c r="B53" t="s">
        <v>103</v>
      </c>
      <c r="C53">
        <v>48</v>
      </c>
      <c r="D53">
        <v>45</v>
      </c>
      <c r="E53">
        <f>AVERAGE(C49:C53)</f>
        <v>47.4</v>
      </c>
      <c r="F53">
        <f>AVERAGE(D49:D53)</f>
        <v>45.6</v>
      </c>
      <c r="G53">
        <f>F53-E53</f>
        <v>-1.7999999999999972</v>
      </c>
      <c r="H53" s="1">
        <v>38252</v>
      </c>
    </row>
    <row r="54" spans="1:8" ht="12.75">
      <c r="A54" s="1">
        <v>38256</v>
      </c>
      <c r="B54" t="s">
        <v>169</v>
      </c>
      <c r="C54">
        <v>48</v>
      </c>
      <c r="D54">
        <v>47</v>
      </c>
      <c r="E54">
        <f>AVERAGE(C50:C54)</f>
        <v>47.6</v>
      </c>
      <c r="F54">
        <f>AVERAGE(D50:D54)</f>
        <v>46</v>
      </c>
      <c r="G54">
        <f>F54-E54</f>
        <v>-1.6000000000000014</v>
      </c>
      <c r="H54" s="1">
        <v>38253</v>
      </c>
    </row>
    <row r="55" spans="1:8" ht="12.75">
      <c r="A55" s="1">
        <v>38256</v>
      </c>
      <c r="B55" t="s">
        <v>59</v>
      </c>
      <c r="C55">
        <v>46</v>
      </c>
      <c r="D55">
        <v>47</v>
      </c>
      <c r="E55">
        <f>AVERAGE(C51:C55)</f>
        <v>47.6</v>
      </c>
      <c r="F55">
        <f>AVERAGE(D51:D55)</f>
        <v>46.4</v>
      </c>
      <c r="G55">
        <f>F55-E55</f>
        <v>-1.2000000000000028</v>
      </c>
      <c r="H55" s="1">
        <v>38254</v>
      </c>
    </row>
    <row r="56" spans="1:8" ht="12.75">
      <c r="A56" s="1">
        <v>38260</v>
      </c>
      <c r="B56" t="s">
        <v>280</v>
      </c>
      <c r="C56">
        <v>43</v>
      </c>
      <c r="D56">
        <v>49</v>
      </c>
      <c r="E56">
        <f>AVERAGE(C52:C56)</f>
        <v>47.2</v>
      </c>
      <c r="F56">
        <f>AVERAGE(D52:D56)</f>
        <v>46.8</v>
      </c>
      <c r="G56">
        <f>F56-E56</f>
        <v>-0.4000000000000057</v>
      </c>
      <c r="H56" s="1">
        <v>38255</v>
      </c>
    </row>
    <row r="57" spans="1:9" ht="12.75">
      <c r="A57" s="1">
        <v>38259</v>
      </c>
      <c r="B57" t="s">
        <v>126</v>
      </c>
      <c r="C57">
        <v>48</v>
      </c>
      <c r="D57">
        <v>47</v>
      </c>
      <c r="E57">
        <f>AVERAGE(C53:C57)</f>
        <v>46.6</v>
      </c>
      <c r="F57">
        <f>AVERAGE(D53:D57)</f>
        <v>47</v>
      </c>
      <c r="G57">
        <f>F57-E57</f>
        <v>0.3999999999999986</v>
      </c>
      <c r="H57" s="1">
        <v>38257</v>
      </c>
      <c r="I57">
        <f aca="true" t="shared" si="0" ref="I57:I99">D57-C57</f>
        <v>-1</v>
      </c>
    </row>
    <row r="58" spans="1:9" ht="12.75">
      <c r="A58" s="1">
        <v>38259</v>
      </c>
      <c r="B58" t="s">
        <v>214</v>
      </c>
      <c r="C58">
        <v>47</v>
      </c>
      <c r="D58">
        <v>47</v>
      </c>
      <c r="E58">
        <f>AVERAGE(C54:C58)</f>
        <v>46.4</v>
      </c>
      <c r="F58">
        <f>AVERAGE(D54:D58)</f>
        <v>47.4</v>
      </c>
      <c r="G58">
        <f>F58-E58</f>
        <v>1</v>
      </c>
      <c r="H58" s="1">
        <v>38257</v>
      </c>
      <c r="I58">
        <f t="shared" si="0"/>
        <v>0</v>
      </c>
    </row>
    <row r="59" spans="1:9" ht="12.75">
      <c r="A59" s="1">
        <v>38260</v>
      </c>
      <c r="B59" t="s">
        <v>93</v>
      </c>
      <c r="C59">
        <v>46</v>
      </c>
      <c r="D59">
        <v>49</v>
      </c>
      <c r="E59">
        <f>AVERAGE(C55:C59)</f>
        <v>46</v>
      </c>
      <c r="F59">
        <f>AVERAGE(D55:D59)</f>
        <v>47.8</v>
      </c>
      <c r="G59">
        <f>F59-E59</f>
        <v>1.7999999999999972</v>
      </c>
      <c r="H59" s="1">
        <v>38257</v>
      </c>
      <c r="I59">
        <f t="shared" si="0"/>
        <v>3</v>
      </c>
    </row>
    <row r="60" spans="1:9" ht="12.75">
      <c r="A60" s="1">
        <v>38260</v>
      </c>
      <c r="B60" t="s">
        <v>280</v>
      </c>
      <c r="C60">
        <v>43</v>
      </c>
      <c r="D60">
        <v>51</v>
      </c>
      <c r="E60">
        <f>AVERAGE(C56:C60)</f>
        <v>45.4</v>
      </c>
      <c r="F60">
        <f>AVERAGE(D56:D60)</f>
        <v>48.6</v>
      </c>
      <c r="G60">
        <f>F60-E60</f>
        <v>3.200000000000003</v>
      </c>
      <c r="H60" s="1">
        <v>38258</v>
      </c>
      <c r="I60">
        <f t="shared" si="0"/>
        <v>8</v>
      </c>
    </row>
    <row r="61" spans="1:9" ht="12.75">
      <c r="A61" s="1">
        <v>38261</v>
      </c>
      <c r="B61" t="s">
        <v>109</v>
      </c>
      <c r="C61">
        <v>43</v>
      </c>
      <c r="D61">
        <v>51</v>
      </c>
      <c r="E61">
        <f>AVERAGE(C57:C61)</f>
        <v>45.4</v>
      </c>
      <c r="F61">
        <f>AVERAGE(D57:D61)</f>
        <v>49</v>
      </c>
      <c r="G61">
        <f>F61-E61</f>
        <v>3.6000000000000014</v>
      </c>
      <c r="H61" s="1">
        <v>38259</v>
      </c>
      <c r="I61">
        <f t="shared" si="0"/>
        <v>8</v>
      </c>
    </row>
    <row r="62" spans="1:9" ht="12.75">
      <c r="A62" s="1">
        <v>38261</v>
      </c>
      <c r="B62" t="s">
        <v>144</v>
      </c>
      <c r="C62">
        <v>42</v>
      </c>
      <c r="D62">
        <v>46</v>
      </c>
      <c r="E62">
        <f>AVERAGE(C58:C62)</f>
        <v>44.2</v>
      </c>
      <c r="F62">
        <f>AVERAGE(D58:D62)</f>
        <v>48.8</v>
      </c>
      <c r="G62">
        <f>F62-E62</f>
        <v>4.599999999999994</v>
      </c>
      <c r="H62" s="1">
        <v>38259</v>
      </c>
      <c r="I62">
        <f t="shared" si="0"/>
        <v>4</v>
      </c>
    </row>
    <row r="63" spans="1:9" ht="12.75">
      <c r="A63" s="1">
        <v>38262</v>
      </c>
      <c r="B63" t="s">
        <v>152</v>
      </c>
      <c r="C63">
        <v>46</v>
      </c>
      <c r="D63">
        <v>49</v>
      </c>
      <c r="E63">
        <f>AVERAGE(C59:C63)</f>
        <v>44</v>
      </c>
      <c r="F63">
        <f>AVERAGE(D59:D63)</f>
        <v>49.2</v>
      </c>
      <c r="G63">
        <f>F63-E63</f>
        <v>5.200000000000003</v>
      </c>
      <c r="H63" s="1">
        <v>38259</v>
      </c>
      <c r="I63">
        <f t="shared" si="0"/>
        <v>3</v>
      </c>
    </row>
    <row r="64" spans="1:9" ht="12.75">
      <c r="A64" s="1">
        <v>38266</v>
      </c>
      <c r="B64" t="s">
        <v>308</v>
      </c>
      <c r="C64">
        <v>45</v>
      </c>
      <c r="D64">
        <v>42</v>
      </c>
      <c r="E64">
        <f>AVERAGE(C60:C64)</f>
        <v>43.8</v>
      </c>
      <c r="F64">
        <f>AVERAGE(D60:D64)</f>
        <v>47.8</v>
      </c>
      <c r="G64">
        <f>F64-E64</f>
        <v>4</v>
      </c>
      <c r="H64" s="1">
        <v>38260</v>
      </c>
      <c r="I64">
        <f t="shared" si="0"/>
        <v>-3</v>
      </c>
    </row>
    <row r="65" spans="1:9" ht="12.75">
      <c r="A65" s="1">
        <v>38266</v>
      </c>
      <c r="B65" t="s">
        <v>214</v>
      </c>
      <c r="C65">
        <v>45</v>
      </c>
      <c r="D65">
        <v>52</v>
      </c>
      <c r="E65">
        <f>AVERAGE(C61:C65)</f>
        <v>44.2</v>
      </c>
      <c r="F65">
        <f>AVERAGE(D61:D65)</f>
        <v>48</v>
      </c>
      <c r="G65">
        <f>F65-E65</f>
        <v>3.799999999999997</v>
      </c>
      <c r="H65" s="1">
        <v>38264</v>
      </c>
      <c r="I65">
        <f t="shared" si="0"/>
        <v>7</v>
      </c>
    </row>
    <row r="66" spans="1:9" ht="12.75">
      <c r="A66" s="1">
        <v>38267</v>
      </c>
      <c r="B66" t="s">
        <v>301</v>
      </c>
      <c r="C66">
        <v>46</v>
      </c>
      <c r="D66">
        <v>48</v>
      </c>
      <c r="E66">
        <f>AVERAGE(C62:C66)</f>
        <v>44.8</v>
      </c>
      <c r="F66">
        <f>AVERAGE(D62:D66)</f>
        <v>47.4</v>
      </c>
      <c r="G66">
        <f>F66-E66</f>
        <v>2.6000000000000014</v>
      </c>
      <c r="H66" s="1">
        <v>38265</v>
      </c>
      <c r="I66">
        <f t="shared" si="0"/>
        <v>2</v>
      </c>
    </row>
    <row r="67" spans="1:9" ht="12.75">
      <c r="A67" s="1">
        <v>38269</v>
      </c>
      <c r="B67" t="s">
        <v>169</v>
      </c>
      <c r="C67">
        <v>47</v>
      </c>
      <c r="D67">
        <v>50</v>
      </c>
      <c r="E67">
        <f>AVERAGE(C63:C67)</f>
        <v>45.8</v>
      </c>
      <c r="F67">
        <f>AVERAGE(D63:D67)</f>
        <v>48.2</v>
      </c>
      <c r="G67">
        <f>F67-E67</f>
        <v>2.4000000000000057</v>
      </c>
      <c r="H67" s="1">
        <v>38267</v>
      </c>
      <c r="I67">
        <f t="shared" si="0"/>
        <v>3</v>
      </c>
    </row>
    <row r="68" spans="1:9" ht="12.75">
      <c r="A68" s="1">
        <v>38269</v>
      </c>
      <c r="B68" t="s">
        <v>103</v>
      </c>
      <c r="C68">
        <v>44</v>
      </c>
      <c r="D68">
        <v>52</v>
      </c>
      <c r="E68">
        <f>AVERAGE(C64:C68)</f>
        <v>45.4</v>
      </c>
      <c r="F68">
        <f>AVERAGE(D64:D68)</f>
        <v>48.8</v>
      </c>
      <c r="G68">
        <f>F68-E68</f>
        <v>3.3999999999999986</v>
      </c>
      <c r="H68" s="1">
        <v>38267</v>
      </c>
      <c r="I68">
        <f t="shared" si="0"/>
        <v>8</v>
      </c>
    </row>
    <row r="69" spans="1:9" ht="12.75">
      <c r="A69" s="1">
        <v>38270</v>
      </c>
      <c r="B69" t="s">
        <v>58</v>
      </c>
      <c r="C69">
        <v>44</v>
      </c>
      <c r="D69">
        <v>49</v>
      </c>
      <c r="E69">
        <f>AVERAGE(C65:C69)</f>
        <v>45.2</v>
      </c>
      <c r="F69">
        <f>AVERAGE(D65:D69)</f>
        <v>50.2</v>
      </c>
      <c r="G69">
        <f>F69-E69</f>
        <v>5</v>
      </c>
      <c r="H69" s="1">
        <v>38267</v>
      </c>
      <c r="I69">
        <f t="shared" si="0"/>
        <v>5</v>
      </c>
    </row>
    <row r="70" spans="1:9" ht="12.75">
      <c r="A70" s="1">
        <v>38273</v>
      </c>
      <c r="B70" t="s">
        <v>214</v>
      </c>
      <c r="C70">
        <v>46</v>
      </c>
      <c r="D70">
        <v>51</v>
      </c>
      <c r="E70">
        <f>AVERAGE(C66:C70)</f>
        <v>45.4</v>
      </c>
      <c r="F70">
        <f>AVERAGE(D66:D70)</f>
        <v>50</v>
      </c>
      <c r="G70">
        <f>F70-E70</f>
        <v>4.600000000000001</v>
      </c>
      <c r="H70" s="1">
        <v>38271</v>
      </c>
      <c r="I70">
        <f t="shared" si="0"/>
        <v>5</v>
      </c>
    </row>
    <row r="71" spans="1:9" ht="12.75">
      <c r="A71" s="1">
        <v>38274</v>
      </c>
      <c r="B71" t="s">
        <v>221</v>
      </c>
      <c r="C71">
        <v>42</v>
      </c>
      <c r="D71">
        <v>47</v>
      </c>
      <c r="E71">
        <f>AVERAGE(C67:C71)</f>
        <v>44.6</v>
      </c>
      <c r="F71">
        <f>AVERAGE(D67:D71)</f>
        <v>49.8</v>
      </c>
      <c r="G71">
        <f>F71-E71</f>
        <v>5.199999999999996</v>
      </c>
      <c r="H71" s="1">
        <v>38272</v>
      </c>
      <c r="I71">
        <f t="shared" si="0"/>
        <v>5</v>
      </c>
    </row>
    <row r="72" spans="1:9" ht="12.75">
      <c r="A72" s="1">
        <v>38275</v>
      </c>
      <c r="B72" t="s">
        <v>152</v>
      </c>
      <c r="C72">
        <v>44</v>
      </c>
      <c r="D72">
        <v>48</v>
      </c>
      <c r="E72">
        <f>AVERAGE(C68:C72)</f>
        <v>44</v>
      </c>
      <c r="F72">
        <f>AVERAGE(D68:D72)</f>
        <v>49.4</v>
      </c>
      <c r="G72">
        <f>F72-E72</f>
        <v>5.399999999999999</v>
      </c>
      <c r="H72" s="1">
        <v>38272</v>
      </c>
      <c r="I72">
        <f t="shared" si="0"/>
        <v>4</v>
      </c>
    </row>
    <row r="73" spans="1:9" ht="12.75">
      <c r="A73" s="1">
        <v>38276</v>
      </c>
      <c r="B73" t="s">
        <v>41</v>
      </c>
      <c r="C73">
        <v>47.1</v>
      </c>
      <c r="D73">
        <v>48.2</v>
      </c>
      <c r="E73">
        <f>AVERAGE(C69:C73)</f>
        <v>44.62</v>
      </c>
      <c r="F73">
        <f>AVERAGE(D69:D73)</f>
        <v>48.64</v>
      </c>
      <c r="G73">
        <f>F73-E73</f>
        <v>4.020000000000003</v>
      </c>
      <c r="H73" s="1">
        <v>38272</v>
      </c>
      <c r="I73">
        <f t="shared" si="0"/>
        <v>1.1000000000000014</v>
      </c>
    </row>
    <row r="74" spans="1:9" ht="12.75">
      <c r="A74" s="1">
        <v>38275</v>
      </c>
      <c r="B74" t="s">
        <v>109</v>
      </c>
      <c r="C74">
        <v>46</v>
      </c>
      <c r="D74">
        <v>51</v>
      </c>
      <c r="E74">
        <f>AVERAGE(C70:C74)</f>
        <v>45.019999999999996</v>
      </c>
      <c r="F74">
        <f>AVERAGE(D70:D74)</f>
        <v>49.04</v>
      </c>
      <c r="G74">
        <f>F74-E74</f>
        <v>4.020000000000003</v>
      </c>
      <c r="H74" s="1">
        <v>38273</v>
      </c>
      <c r="I74">
        <f t="shared" si="0"/>
        <v>5</v>
      </c>
    </row>
    <row r="75" spans="1:9" ht="12.75">
      <c r="A75" s="1">
        <v>38277</v>
      </c>
      <c r="B75" t="s">
        <v>58</v>
      </c>
      <c r="C75">
        <v>45</v>
      </c>
      <c r="D75">
        <v>49</v>
      </c>
      <c r="E75">
        <f>AVERAGE(C71:C75)</f>
        <v>44.82</v>
      </c>
      <c r="F75">
        <f>AVERAGE(D71:D75)</f>
        <v>48.64</v>
      </c>
      <c r="G75">
        <f>F75-E75</f>
        <v>3.8200000000000003</v>
      </c>
      <c r="H75" s="1">
        <v>38274</v>
      </c>
      <c r="I75">
        <f t="shared" si="0"/>
        <v>4</v>
      </c>
    </row>
    <row r="76" spans="1:9" ht="12.75">
      <c r="A76" s="1">
        <v>38277</v>
      </c>
      <c r="B76" t="s">
        <v>107</v>
      </c>
      <c r="C76">
        <v>43</v>
      </c>
      <c r="D76">
        <v>47</v>
      </c>
      <c r="E76">
        <f>AVERAGE(C72:C76)</f>
        <v>45.019999999999996</v>
      </c>
      <c r="F76">
        <f>AVERAGE(D72:D76)</f>
        <v>48.64</v>
      </c>
      <c r="G76">
        <f>F76-E76</f>
        <v>3.6200000000000045</v>
      </c>
      <c r="H76" s="1">
        <v>38274</v>
      </c>
      <c r="I76">
        <f t="shared" si="0"/>
        <v>4</v>
      </c>
    </row>
    <row r="77" spans="1:12" ht="12.75">
      <c r="A77" s="1">
        <v>38277</v>
      </c>
      <c r="B77" t="s">
        <v>126</v>
      </c>
      <c r="C77">
        <v>49</v>
      </c>
      <c r="D77">
        <v>47</v>
      </c>
      <c r="E77">
        <f>AVERAGE(C73:C77)</f>
        <v>46.019999999999996</v>
      </c>
      <c r="F77">
        <f>AVERAGE(D73:D77)</f>
        <v>48.44</v>
      </c>
      <c r="G77">
        <f>F77-E77</f>
        <v>2.4200000000000017</v>
      </c>
      <c r="H77" s="1">
        <v>38275</v>
      </c>
      <c r="I77">
        <f t="shared" si="0"/>
        <v>-2</v>
      </c>
      <c r="J77">
        <f>AVERAGE(C67:C77)</f>
        <v>45.190909090909095</v>
      </c>
      <c r="K77">
        <f>AVERAGE(D67:D77)</f>
        <v>49.01818181818182</v>
      </c>
      <c r="L77">
        <f>K77-J77</f>
        <v>3.827272727272728</v>
      </c>
    </row>
    <row r="78" spans="1:9" ht="12.75">
      <c r="A78" s="1">
        <v>38280</v>
      </c>
      <c r="B78" t="s">
        <v>214</v>
      </c>
      <c r="C78">
        <v>49</v>
      </c>
      <c r="D78">
        <v>48</v>
      </c>
      <c r="E78">
        <f>AVERAGE(C74:C78)</f>
        <v>46.4</v>
      </c>
      <c r="F78">
        <f>AVERAGE(D74:D78)</f>
        <v>48.4</v>
      </c>
      <c r="G78">
        <f>F78-E78</f>
        <v>2</v>
      </c>
      <c r="H78" s="1">
        <v>38278</v>
      </c>
      <c r="I78">
        <f t="shared" si="0"/>
        <v>-1</v>
      </c>
    </row>
    <row r="79" spans="1:9" ht="12.75">
      <c r="A79" s="1">
        <v>38281</v>
      </c>
      <c r="B79" t="s">
        <v>93</v>
      </c>
      <c r="C79">
        <v>47</v>
      </c>
      <c r="D79">
        <v>48</v>
      </c>
      <c r="E79">
        <f>AVERAGE(C75:C79)</f>
        <v>46.6</v>
      </c>
      <c r="F79">
        <f>AVERAGE(D75:D79)</f>
        <v>47.8</v>
      </c>
      <c r="G79">
        <f>F79-E79</f>
        <v>1.1999999999999957</v>
      </c>
      <c r="H79" s="1">
        <v>38278</v>
      </c>
      <c r="I79">
        <f t="shared" si="0"/>
        <v>1</v>
      </c>
    </row>
    <row r="80" spans="1:9" ht="12.75">
      <c r="A80" s="1">
        <v>38281</v>
      </c>
      <c r="B80" t="s">
        <v>41</v>
      </c>
      <c r="C80">
        <v>45</v>
      </c>
      <c r="D80">
        <v>49</v>
      </c>
      <c r="E80">
        <f>AVERAGE(C76:C80)</f>
        <v>46.6</v>
      </c>
      <c r="F80">
        <f>AVERAGE(D76:D80)</f>
        <v>47.8</v>
      </c>
      <c r="G80">
        <f>F80-E80</f>
        <v>1.1999999999999957</v>
      </c>
      <c r="H80" s="1">
        <v>38279</v>
      </c>
      <c r="I80">
        <f t="shared" si="0"/>
        <v>4</v>
      </c>
    </row>
    <row r="81" spans="1:9" ht="12.75">
      <c r="A81" s="1">
        <v>38282</v>
      </c>
      <c r="B81" t="s">
        <v>301</v>
      </c>
      <c r="C81">
        <v>46</v>
      </c>
      <c r="D81">
        <v>45</v>
      </c>
      <c r="E81">
        <f>AVERAGE(C77:C81)</f>
        <v>47.2</v>
      </c>
      <c r="F81">
        <f>AVERAGE(D77:D81)</f>
        <v>47.4</v>
      </c>
      <c r="G81">
        <f>F81-E81</f>
        <v>0.19999999999999574</v>
      </c>
      <c r="H81" s="1">
        <v>38280</v>
      </c>
      <c r="I81">
        <f t="shared" si="0"/>
        <v>-1</v>
      </c>
    </row>
    <row r="82" spans="1:9" ht="12.75">
      <c r="A82" s="1">
        <v>38282</v>
      </c>
      <c r="B82" t="s">
        <v>280</v>
      </c>
      <c r="C82">
        <v>44</v>
      </c>
      <c r="D82">
        <v>49</v>
      </c>
      <c r="E82">
        <f>AVERAGE(C78:C82)</f>
        <v>46.2</v>
      </c>
      <c r="F82">
        <f>AVERAGE(D78:D82)</f>
        <v>47.8</v>
      </c>
      <c r="G82">
        <f>F82-E82</f>
        <v>1.5999999999999943</v>
      </c>
      <c r="H82" s="1">
        <v>38280</v>
      </c>
      <c r="I82">
        <f t="shared" si="0"/>
        <v>5</v>
      </c>
    </row>
    <row r="83" spans="1:9" ht="12.75">
      <c r="A83" s="1">
        <v>38283</v>
      </c>
      <c r="B83" t="s">
        <v>245</v>
      </c>
      <c r="C83">
        <v>42</v>
      </c>
      <c r="D83">
        <v>49</v>
      </c>
      <c r="E83">
        <f>AVERAGE(C79:C83)</f>
        <v>44.8</v>
      </c>
      <c r="F83">
        <f>AVERAGE(D79:D83)</f>
        <v>48</v>
      </c>
      <c r="G83">
        <f>F83-E83</f>
        <v>3.200000000000003</v>
      </c>
      <c r="H83" s="1">
        <v>38281</v>
      </c>
      <c r="I83">
        <f t="shared" si="0"/>
        <v>7</v>
      </c>
    </row>
    <row r="84" spans="1:9" ht="12.75">
      <c r="A84" s="1">
        <v>38283</v>
      </c>
      <c r="B84" t="s">
        <v>292</v>
      </c>
      <c r="C84">
        <v>47</v>
      </c>
      <c r="D84">
        <v>48</v>
      </c>
      <c r="E84">
        <f>AVERAGE(C80:C84)</f>
        <v>44.8</v>
      </c>
      <c r="F84">
        <f>AVERAGE(D80:D84)</f>
        <v>48</v>
      </c>
      <c r="G84">
        <f>F84-E84</f>
        <v>3.200000000000003</v>
      </c>
      <c r="H84" s="1">
        <v>38281</v>
      </c>
      <c r="I84">
        <f t="shared" si="0"/>
        <v>1</v>
      </c>
    </row>
    <row r="85" spans="1:9" ht="12.75">
      <c r="A85" s="1">
        <v>38283</v>
      </c>
      <c r="B85" t="s">
        <v>103</v>
      </c>
      <c r="C85">
        <v>48</v>
      </c>
      <c r="D85">
        <v>46</v>
      </c>
      <c r="E85">
        <f>AVERAGE(C81:C85)</f>
        <v>45.4</v>
      </c>
      <c r="F85">
        <f>AVERAGE(D81:D85)</f>
        <v>47.4</v>
      </c>
      <c r="G85">
        <f>F85-E85</f>
        <v>2</v>
      </c>
      <c r="H85" s="1">
        <v>38281</v>
      </c>
      <c r="I85">
        <f t="shared" si="0"/>
        <v>-2</v>
      </c>
    </row>
    <row r="86" spans="1:9" ht="12.75">
      <c r="A86" s="1">
        <v>38287</v>
      </c>
      <c r="B86" t="s">
        <v>169</v>
      </c>
      <c r="C86">
        <v>47</v>
      </c>
      <c r="D86">
        <v>51</v>
      </c>
      <c r="E86">
        <f>AVERAGE(C82:C86)</f>
        <v>45.6</v>
      </c>
      <c r="F86">
        <f>AVERAGE(D82:D86)</f>
        <v>48.6</v>
      </c>
      <c r="G86">
        <f>F86-E86</f>
        <v>3</v>
      </c>
      <c r="H86" s="1">
        <v>38285</v>
      </c>
      <c r="I86">
        <f t="shared" si="0"/>
        <v>4</v>
      </c>
    </row>
    <row r="87" spans="1:9" ht="12.75">
      <c r="A87" s="1">
        <v>38287</v>
      </c>
      <c r="B87" t="s">
        <v>144</v>
      </c>
      <c r="C87">
        <v>44</v>
      </c>
      <c r="D87">
        <v>49</v>
      </c>
      <c r="E87">
        <f>AVERAGE(C83:C87)</f>
        <v>45.6</v>
      </c>
      <c r="F87">
        <f>AVERAGE(D83:D87)</f>
        <v>48.6</v>
      </c>
      <c r="G87">
        <f>F87-E87</f>
        <v>3</v>
      </c>
      <c r="H87" s="1">
        <v>38285</v>
      </c>
      <c r="I87">
        <f t="shared" si="0"/>
        <v>5</v>
      </c>
    </row>
    <row r="88" spans="1:9" ht="12.75">
      <c r="A88" s="1">
        <v>38287</v>
      </c>
      <c r="B88" t="s">
        <v>0</v>
      </c>
      <c r="C88">
        <v>47</v>
      </c>
      <c r="D88">
        <v>47</v>
      </c>
      <c r="E88">
        <f>AVERAGE(C84:C88)</f>
        <v>46.6</v>
      </c>
      <c r="F88">
        <f>AVERAGE(D84:D88)</f>
        <v>48.2</v>
      </c>
      <c r="G88">
        <f>F88-E88</f>
        <v>1.6000000000000014</v>
      </c>
      <c r="H88" s="1">
        <v>38285</v>
      </c>
      <c r="I88">
        <f t="shared" si="0"/>
        <v>0</v>
      </c>
    </row>
    <row r="89" spans="1:9" ht="12.75">
      <c r="A89" s="1">
        <v>38287</v>
      </c>
      <c r="B89" t="s">
        <v>221</v>
      </c>
      <c r="C89">
        <v>44</v>
      </c>
      <c r="D89">
        <v>49</v>
      </c>
      <c r="E89">
        <f>AVERAGE(C85:C89)</f>
        <v>46</v>
      </c>
      <c r="F89">
        <f>AVERAGE(D85:D89)</f>
        <v>48.4</v>
      </c>
      <c r="G89">
        <f>F89-E89</f>
        <v>2.3999999999999986</v>
      </c>
      <c r="H89" s="1">
        <v>38285</v>
      </c>
      <c r="I89">
        <f t="shared" si="0"/>
        <v>5</v>
      </c>
    </row>
    <row r="90" spans="1:9" ht="12.75">
      <c r="A90" s="1">
        <v>38288</v>
      </c>
      <c r="B90" t="s">
        <v>280</v>
      </c>
      <c r="C90">
        <v>45</v>
      </c>
      <c r="D90">
        <v>47</v>
      </c>
      <c r="E90">
        <f>AVERAGE(C86:C90)</f>
        <v>45.4</v>
      </c>
      <c r="F90">
        <f>AVERAGE(D86:D90)</f>
        <v>48.6</v>
      </c>
      <c r="G90">
        <f>F90-E90</f>
        <v>3.200000000000003</v>
      </c>
      <c r="H90" s="1">
        <v>38285</v>
      </c>
      <c r="I90">
        <f t="shared" si="0"/>
        <v>2</v>
      </c>
    </row>
    <row r="91" spans="1:9" ht="12.75">
      <c r="A91" s="1">
        <v>38288</v>
      </c>
      <c r="B91" t="s">
        <v>4</v>
      </c>
      <c r="C91">
        <v>43</v>
      </c>
      <c r="D91">
        <v>45</v>
      </c>
      <c r="E91">
        <f>AVERAGE(C87:C91)</f>
        <v>44.6</v>
      </c>
      <c r="F91">
        <f>AVERAGE(D87:D91)</f>
        <v>47.4</v>
      </c>
      <c r="G91">
        <f>F91-E91</f>
        <v>2.799999999999997</v>
      </c>
      <c r="H91" s="1">
        <v>38285</v>
      </c>
      <c r="I91">
        <f t="shared" si="0"/>
        <v>2</v>
      </c>
    </row>
    <row r="92" spans="1:9" ht="12.75">
      <c r="A92" s="1">
        <v>38288</v>
      </c>
      <c r="B92" t="s">
        <v>214</v>
      </c>
      <c r="C92">
        <v>47</v>
      </c>
      <c r="D92">
        <v>51</v>
      </c>
      <c r="E92">
        <f>AVERAGE(C88:C92)</f>
        <v>45.2</v>
      </c>
      <c r="F92">
        <f>AVERAGE(D88:D92)</f>
        <v>47.8</v>
      </c>
      <c r="G92">
        <f>F92-E92</f>
        <v>2.5999999999999943</v>
      </c>
      <c r="H92" s="1">
        <v>38285</v>
      </c>
      <c r="I92">
        <f t="shared" si="0"/>
        <v>4</v>
      </c>
    </row>
    <row r="93" spans="1:9" ht="12.75">
      <c r="A93" s="1">
        <v>38288</v>
      </c>
      <c r="B93" t="s">
        <v>3</v>
      </c>
      <c r="C93">
        <v>43</v>
      </c>
      <c r="D93">
        <v>50</v>
      </c>
      <c r="E93">
        <f>AVERAGE(C89:C93)</f>
        <v>44.4</v>
      </c>
      <c r="F93">
        <f>AVERAGE(D89:D93)</f>
        <v>48.4</v>
      </c>
      <c r="G93">
        <f>F93-E93</f>
        <v>4</v>
      </c>
      <c r="H93" s="1">
        <v>38286</v>
      </c>
      <c r="I93">
        <f t="shared" si="0"/>
        <v>7</v>
      </c>
    </row>
    <row r="94" spans="1:9" ht="12.75">
      <c r="A94" s="1">
        <v>38290</v>
      </c>
      <c r="B94" t="s">
        <v>22</v>
      </c>
      <c r="C94">
        <v>44</v>
      </c>
      <c r="D94">
        <v>45</v>
      </c>
      <c r="E94">
        <f>AVERAGE(C90:C94)</f>
        <v>44.4</v>
      </c>
      <c r="F94">
        <f>AVERAGE(D90:D94)</f>
        <v>47.6</v>
      </c>
      <c r="G94">
        <f>F94-E94</f>
        <v>3.200000000000003</v>
      </c>
      <c r="H94" s="1">
        <v>38286</v>
      </c>
      <c r="I94">
        <f t="shared" si="0"/>
        <v>1</v>
      </c>
    </row>
    <row r="95" spans="1:9" ht="12.75">
      <c r="A95" s="1">
        <v>38291</v>
      </c>
      <c r="B95" t="s">
        <v>308</v>
      </c>
      <c r="C95">
        <v>41</v>
      </c>
      <c r="D95">
        <v>45</v>
      </c>
      <c r="E95">
        <f>AVERAGE(C91:C95)</f>
        <v>43.6</v>
      </c>
      <c r="F95">
        <f>AVERAGE(D91:D95)</f>
        <v>47.2</v>
      </c>
      <c r="G95">
        <f>F95-E95</f>
        <v>3.6000000000000014</v>
      </c>
      <c r="H95" s="1">
        <v>38286</v>
      </c>
      <c r="I95">
        <f t="shared" si="0"/>
        <v>4</v>
      </c>
    </row>
    <row r="96" spans="1:9" ht="12.75">
      <c r="A96" s="1">
        <v>38289</v>
      </c>
      <c r="B96" t="s">
        <v>109</v>
      </c>
      <c r="C96">
        <v>47</v>
      </c>
      <c r="D96">
        <v>51</v>
      </c>
      <c r="E96">
        <f>AVERAGE(C92:C96)</f>
        <v>44.4</v>
      </c>
      <c r="F96">
        <f>AVERAGE(D92:D96)</f>
        <v>48.4</v>
      </c>
      <c r="G96">
        <f>F96-E96</f>
        <v>4</v>
      </c>
      <c r="H96" s="1">
        <v>38287</v>
      </c>
      <c r="I96">
        <f t="shared" si="0"/>
        <v>4</v>
      </c>
    </row>
    <row r="97" spans="1:9" ht="12.75">
      <c r="A97" s="1">
        <v>38292</v>
      </c>
      <c r="B97" t="s">
        <v>303</v>
      </c>
      <c r="C97">
        <v>45</v>
      </c>
      <c r="D97">
        <v>47</v>
      </c>
      <c r="E97">
        <f>AVERAGE(C93:C97)</f>
        <v>44</v>
      </c>
      <c r="F97">
        <f>AVERAGE(D93:D97)</f>
        <v>47.6</v>
      </c>
      <c r="G97">
        <f>F97-E97</f>
        <v>3.6000000000000014</v>
      </c>
      <c r="H97" s="1">
        <v>38288</v>
      </c>
      <c r="I97">
        <f t="shared" si="0"/>
        <v>2</v>
      </c>
    </row>
    <row r="98" spans="1:9" ht="12.75">
      <c r="A98" s="1">
        <v>38291</v>
      </c>
      <c r="B98" t="s">
        <v>221</v>
      </c>
      <c r="C98">
        <v>47</v>
      </c>
      <c r="D98">
        <v>47</v>
      </c>
      <c r="E98">
        <f>AVERAGE(C94:C98)</f>
        <v>44.8</v>
      </c>
      <c r="F98">
        <f>AVERAGE(D94:D98)</f>
        <v>47</v>
      </c>
      <c r="G98">
        <f>F98-E98</f>
        <v>2.200000000000003</v>
      </c>
      <c r="H98" s="1">
        <v>38289</v>
      </c>
      <c r="I98">
        <f t="shared" si="0"/>
        <v>0</v>
      </c>
    </row>
    <row r="99" spans="1:9" ht="12.75">
      <c r="A99" s="1">
        <v>38291</v>
      </c>
      <c r="B99" t="s">
        <v>59</v>
      </c>
      <c r="C99">
        <v>46</v>
      </c>
      <c r="D99">
        <v>50</v>
      </c>
      <c r="E99">
        <f>AVERAGE(C95:C99)</f>
        <v>45.2</v>
      </c>
      <c r="F99">
        <f>AVERAGE(D95:D99)</f>
        <v>48</v>
      </c>
      <c r="G99">
        <f>F99-E99</f>
        <v>2.799999999999997</v>
      </c>
      <c r="H99" s="1">
        <v>38290</v>
      </c>
      <c r="I99">
        <f t="shared" si="0"/>
        <v>4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43"/>
  <sheetViews>
    <sheetView zoomScalePageLayoutView="0" workbookViewId="0" topLeftCell="A1">
      <selection activeCell="F43" sqref="F43"/>
    </sheetView>
  </sheetViews>
  <sheetFormatPr defaultColWidth="11.00390625" defaultRowHeight="12.75"/>
  <sheetData>
    <row r="3" spans="3:7" ht="12.75">
      <c r="C3" s="3" t="s">
        <v>35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54</v>
      </c>
      <c r="D5">
        <v>41</v>
      </c>
      <c r="E5">
        <f>AVERAGE(C1:C5)</f>
        <v>54</v>
      </c>
      <c r="F5">
        <f>AVERAGE(D1:D5)</f>
        <v>41</v>
      </c>
      <c r="G5">
        <f>F5-E5</f>
        <v>-13</v>
      </c>
      <c r="H5" s="1">
        <v>38044</v>
      </c>
    </row>
    <row r="6" spans="1:8" ht="12.75">
      <c r="A6" s="1">
        <v>38115</v>
      </c>
      <c r="B6" t="s">
        <v>169</v>
      </c>
      <c r="C6">
        <v>53</v>
      </c>
      <c r="D6">
        <v>40</v>
      </c>
      <c r="E6">
        <f>AVERAGE(C2:C6)</f>
        <v>53.5</v>
      </c>
      <c r="F6">
        <f>AVERAGE(D2:D6)</f>
        <v>40.5</v>
      </c>
      <c r="G6">
        <f>F6-E6</f>
        <v>-13</v>
      </c>
      <c r="H6" s="1">
        <v>38065</v>
      </c>
    </row>
    <row r="7" spans="1:8" ht="12.75">
      <c r="A7" s="1">
        <v>38115</v>
      </c>
      <c r="B7" t="s">
        <v>169</v>
      </c>
      <c r="C7">
        <v>53</v>
      </c>
      <c r="D7">
        <v>39</v>
      </c>
      <c r="E7">
        <f>AVERAGE(C3:C7)</f>
        <v>53.333333333333336</v>
      </c>
      <c r="F7">
        <f>AVERAGE(D3:D7)</f>
        <v>40</v>
      </c>
      <c r="G7">
        <f>F7-E7</f>
        <v>-13.333333333333336</v>
      </c>
      <c r="H7" s="1">
        <v>38112</v>
      </c>
    </row>
    <row r="8" spans="1:8" ht="12.75">
      <c r="A8" s="1">
        <v>38120</v>
      </c>
      <c r="B8" t="s">
        <v>103</v>
      </c>
      <c r="C8">
        <v>54</v>
      </c>
      <c r="D8">
        <v>40</v>
      </c>
      <c r="E8">
        <f>AVERAGE(C4:C8)</f>
        <v>53.5</v>
      </c>
      <c r="F8">
        <f>AVERAGE(D4:D8)</f>
        <v>40</v>
      </c>
      <c r="G8">
        <f>F8-E8</f>
        <v>-13.5</v>
      </c>
      <c r="H8" s="1">
        <v>38117</v>
      </c>
    </row>
    <row r="9" spans="1:8" ht="12.75">
      <c r="A9" s="1">
        <v>38130</v>
      </c>
      <c r="B9" t="s">
        <v>152</v>
      </c>
      <c r="C9">
        <v>45</v>
      </c>
      <c r="D9">
        <v>35</v>
      </c>
      <c r="E9">
        <f>AVERAGE(C5:C9)</f>
        <v>51.8</v>
      </c>
      <c r="F9">
        <f>AVERAGE(D5:D9)</f>
        <v>39</v>
      </c>
      <c r="G9">
        <f>F9-E9</f>
        <v>-12.799999999999997</v>
      </c>
      <c r="H9" s="1">
        <v>38129</v>
      </c>
    </row>
    <row r="10" spans="1:8" ht="12.75">
      <c r="A10" s="1">
        <v>403402</v>
      </c>
      <c r="B10" t="s">
        <v>169</v>
      </c>
      <c r="C10">
        <v>51</v>
      </c>
      <c r="D10">
        <v>41</v>
      </c>
      <c r="E10">
        <f>AVERAGE(C6:C10)</f>
        <v>51.2</v>
      </c>
      <c r="F10">
        <f>AVERAGE(D6:D10)</f>
        <v>39</v>
      </c>
      <c r="G10">
        <f>F10-E10</f>
        <v>-12.200000000000003</v>
      </c>
      <c r="H10" s="1">
        <v>38141</v>
      </c>
    </row>
    <row r="11" spans="1:8" ht="12.75">
      <c r="A11" s="1">
        <v>38157</v>
      </c>
      <c r="B11" t="s">
        <v>152</v>
      </c>
      <c r="C11">
        <v>44</v>
      </c>
      <c r="D11">
        <v>43</v>
      </c>
      <c r="E11">
        <f>AVERAGE(C7:C11)</f>
        <v>49.4</v>
      </c>
      <c r="F11">
        <f>AVERAGE(D7:D11)</f>
        <v>39.6</v>
      </c>
      <c r="G11">
        <f>F11-E11</f>
        <v>-9.799999999999997</v>
      </c>
      <c r="H11" s="1">
        <v>38155</v>
      </c>
    </row>
    <row r="12" spans="1:8" ht="12.75">
      <c r="A12" s="1">
        <v>38168</v>
      </c>
      <c r="B12" t="s">
        <v>169</v>
      </c>
      <c r="C12">
        <v>53</v>
      </c>
      <c r="D12">
        <v>43</v>
      </c>
      <c r="E12">
        <f>AVERAGE(C8:C12)</f>
        <v>49.4</v>
      </c>
      <c r="F12">
        <f>AVERAGE(D8:D12)</f>
        <v>40.4</v>
      </c>
      <c r="G12">
        <f>F12-E12</f>
        <v>-9</v>
      </c>
      <c r="H12" s="1">
        <v>38163</v>
      </c>
    </row>
    <row r="13" spans="1:8" ht="12.75">
      <c r="A13" s="1">
        <v>38170</v>
      </c>
      <c r="B13" t="s">
        <v>103</v>
      </c>
      <c r="C13">
        <v>51</v>
      </c>
      <c r="D13">
        <v>43</v>
      </c>
      <c r="E13">
        <f>AVERAGE(C9:C13)</f>
        <v>48.8</v>
      </c>
      <c r="F13">
        <f>AVERAGE(D9:D13)</f>
        <v>41</v>
      </c>
      <c r="G13">
        <f>F13-E13</f>
        <v>-7.799999999999997</v>
      </c>
      <c r="H13" s="1">
        <v>38166</v>
      </c>
    </row>
    <row r="14" spans="1:8" ht="12.75">
      <c r="A14" s="1">
        <v>38176</v>
      </c>
      <c r="B14" t="s">
        <v>239</v>
      </c>
      <c r="C14">
        <v>44</v>
      </c>
      <c r="D14">
        <v>38</v>
      </c>
      <c r="E14">
        <f>AVERAGE(C10:C14)</f>
        <v>48.6</v>
      </c>
      <c r="F14">
        <f>AVERAGE(D10:D14)</f>
        <v>41.6</v>
      </c>
      <c r="G14">
        <f>F14-E14</f>
        <v>-7</v>
      </c>
      <c r="H14" s="1">
        <v>38167</v>
      </c>
    </row>
    <row r="15" spans="1:8" ht="12.75">
      <c r="A15" s="1">
        <v>38171</v>
      </c>
      <c r="B15" t="s">
        <v>152</v>
      </c>
      <c r="C15">
        <v>46</v>
      </c>
      <c r="D15">
        <v>44</v>
      </c>
      <c r="E15">
        <f>AVERAGE(C11:C15)</f>
        <v>47.6</v>
      </c>
      <c r="F15">
        <f>AVERAGE(D11:D15)</f>
        <v>42.2</v>
      </c>
      <c r="G15">
        <f>F15-E15</f>
        <v>-5.399999999999999</v>
      </c>
      <c r="H15" s="1">
        <v>38169</v>
      </c>
    </row>
    <row r="16" spans="1:8" ht="12.75">
      <c r="A16" s="1">
        <v>38189</v>
      </c>
      <c r="B16" t="s">
        <v>169</v>
      </c>
      <c r="C16">
        <v>53</v>
      </c>
      <c r="D16">
        <v>42</v>
      </c>
      <c r="E16">
        <f>AVERAGE(C12:C16)</f>
        <v>49.4</v>
      </c>
      <c r="F16">
        <f>AVERAGE(D12:D16)</f>
        <v>42</v>
      </c>
      <c r="G16">
        <f>F16-E16</f>
        <v>-7.399999999999999</v>
      </c>
      <c r="H16" s="1">
        <v>38184</v>
      </c>
    </row>
    <row r="17" spans="1:8" ht="12.75">
      <c r="A17" s="1">
        <v>38217</v>
      </c>
      <c r="B17" t="s">
        <v>169</v>
      </c>
      <c r="C17">
        <v>53</v>
      </c>
      <c r="D17">
        <v>44</v>
      </c>
      <c r="E17">
        <f>AVERAGE(C13:C17)</f>
        <v>49.4</v>
      </c>
      <c r="F17">
        <f>AVERAGE(D13:D17)</f>
        <v>42.2</v>
      </c>
      <c r="G17">
        <f>F17-E17</f>
        <v>-7.199999999999996</v>
      </c>
      <c r="H17" s="1">
        <v>38212</v>
      </c>
    </row>
    <row r="18" spans="1:8" ht="12.75">
      <c r="A18" s="1">
        <v>38241</v>
      </c>
      <c r="B18" t="s">
        <v>103</v>
      </c>
      <c r="C18">
        <v>52</v>
      </c>
      <c r="D18">
        <v>39</v>
      </c>
      <c r="E18">
        <f>AVERAGE(C14:C18)</f>
        <v>49.6</v>
      </c>
      <c r="F18">
        <f>AVERAGE(D14:D18)</f>
        <v>41.4</v>
      </c>
      <c r="G18">
        <f>F18-E18</f>
        <v>-8.200000000000003</v>
      </c>
      <c r="H18" s="1">
        <v>38238</v>
      </c>
    </row>
    <row r="19" spans="1:8" ht="12.75">
      <c r="A19" s="1">
        <v>38241</v>
      </c>
      <c r="B19" t="s">
        <v>152</v>
      </c>
      <c r="C19">
        <v>56</v>
      </c>
      <c r="D19">
        <v>38</v>
      </c>
      <c r="E19">
        <f>AVERAGE(C15:C19)</f>
        <v>52</v>
      </c>
      <c r="F19">
        <f>AVERAGE(D15:D19)</f>
        <v>41.4</v>
      </c>
      <c r="G19">
        <f>F19-E19</f>
        <v>-10.600000000000001</v>
      </c>
      <c r="H19" s="1">
        <v>38239</v>
      </c>
    </row>
    <row r="20" spans="1:8" ht="12.75">
      <c r="A20" s="1">
        <v>38248</v>
      </c>
      <c r="B20" t="s">
        <v>24</v>
      </c>
      <c r="C20">
        <v>56</v>
      </c>
      <c r="D20">
        <v>35</v>
      </c>
      <c r="E20">
        <f>AVERAGE(C16:C20)</f>
        <v>54</v>
      </c>
      <c r="F20">
        <f>AVERAGE(D16:D20)</f>
        <v>39.6</v>
      </c>
      <c r="G20">
        <f>F20-E20</f>
        <v>-14.399999999999999</v>
      </c>
      <c r="H20" s="1">
        <v>38240</v>
      </c>
    </row>
    <row r="21" spans="1:8" ht="12.75">
      <c r="A21" s="1">
        <v>38247</v>
      </c>
      <c r="B21" t="s">
        <v>126</v>
      </c>
      <c r="C21">
        <v>57</v>
      </c>
      <c r="D21">
        <v>41</v>
      </c>
      <c r="E21">
        <f>AVERAGE(C17:C21)</f>
        <v>54.8</v>
      </c>
      <c r="F21">
        <f>AVERAGE(D17:D21)</f>
        <v>39.4</v>
      </c>
      <c r="G21">
        <f>F21-E21</f>
        <v>-15.399999999999999</v>
      </c>
      <c r="H21" s="1">
        <v>38245</v>
      </c>
    </row>
    <row r="22" spans="1:8" ht="12.75">
      <c r="A22" s="1">
        <v>38248</v>
      </c>
      <c r="B22" t="s">
        <v>169</v>
      </c>
      <c r="C22">
        <v>54</v>
      </c>
      <c r="D22">
        <v>43</v>
      </c>
      <c r="E22">
        <f>AVERAGE(C18:C22)</f>
        <v>55</v>
      </c>
      <c r="F22">
        <f>AVERAGE(D18:D22)</f>
        <v>39.2</v>
      </c>
      <c r="G22">
        <f>F22-E22</f>
        <v>-15.799999999999997</v>
      </c>
      <c r="H22" s="1">
        <v>38245</v>
      </c>
    </row>
    <row r="23" spans="1:8" ht="12.75">
      <c r="A23" s="1">
        <v>38248</v>
      </c>
      <c r="B23" t="s">
        <v>25</v>
      </c>
      <c r="C23">
        <v>51</v>
      </c>
      <c r="D23">
        <v>43</v>
      </c>
      <c r="E23">
        <f>AVERAGE(C19:C23)</f>
        <v>54.8</v>
      </c>
      <c r="F23">
        <f>AVERAGE(D19:D23)</f>
        <v>40</v>
      </c>
      <c r="G23">
        <f>F23-E23</f>
        <v>-14.799999999999997</v>
      </c>
      <c r="H23" s="1">
        <v>38246</v>
      </c>
    </row>
    <row r="24" spans="1:8" ht="12.75">
      <c r="A24" s="1">
        <v>38252</v>
      </c>
      <c r="B24" t="s">
        <v>59</v>
      </c>
      <c r="C24">
        <v>57</v>
      </c>
      <c r="D24">
        <v>39</v>
      </c>
      <c r="E24">
        <f>AVERAGE(C20:C24)</f>
        <v>55</v>
      </c>
      <c r="F24">
        <f>AVERAGE(D20:D24)</f>
        <v>40.2</v>
      </c>
      <c r="G24">
        <f>F24-E24</f>
        <v>-14.799999999999997</v>
      </c>
      <c r="H24" s="1">
        <v>38249</v>
      </c>
    </row>
    <row r="25" spans="1:8" ht="12.75">
      <c r="A25" s="1">
        <v>38260</v>
      </c>
      <c r="B25" t="s">
        <v>126</v>
      </c>
      <c r="C25">
        <v>52</v>
      </c>
      <c r="D25">
        <v>44</v>
      </c>
      <c r="E25">
        <f>AVERAGE(C21:C25)</f>
        <v>54.2</v>
      </c>
      <c r="F25">
        <f>AVERAGE(D21:D25)</f>
        <v>42</v>
      </c>
      <c r="G25">
        <f>F25-E25</f>
        <v>-12.200000000000003</v>
      </c>
      <c r="H25" s="1">
        <v>38258</v>
      </c>
    </row>
    <row r="26" spans="1:8" ht="12.75">
      <c r="A26" s="1">
        <v>38262</v>
      </c>
      <c r="B26" t="s">
        <v>152</v>
      </c>
      <c r="C26">
        <v>50</v>
      </c>
      <c r="D26">
        <v>44</v>
      </c>
      <c r="E26">
        <f>AVERAGE(C22:C26)</f>
        <v>52.8</v>
      </c>
      <c r="F26">
        <f>AVERAGE(D22:D26)</f>
        <v>42.6</v>
      </c>
      <c r="G26">
        <f>F26-E26</f>
        <v>-10.199999999999996</v>
      </c>
      <c r="H26" s="1">
        <v>38259</v>
      </c>
    </row>
    <row r="27" spans="1:8" ht="12.75">
      <c r="A27" s="1">
        <v>38266</v>
      </c>
      <c r="B27" t="s">
        <v>81</v>
      </c>
      <c r="C27">
        <v>50</v>
      </c>
      <c r="D27">
        <v>44</v>
      </c>
      <c r="E27">
        <f>AVERAGE(C23:C27)</f>
        <v>52</v>
      </c>
      <c r="F27">
        <f>AVERAGE(D23:D27)</f>
        <v>42.8</v>
      </c>
      <c r="G27">
        <f>F27-E27</f>
        <v>-9.200000000000003</v>
      </c>
      <c r="H27" s="1">
        <v>38260</v>
      </c>
    </row>
    <row r="28" spans="1:8" ht="12.75">
      <c r="A28" s="1">
        <v>38268</v>
      </c>
      <c r="B28" t="s">
        <v>169</v>
      </c>
      <c r="C28">
        <v>54</v>
      </c>
      <c r="D28">
        <v>45</v>
      </c>
      <c r="E28">
        <f>AVERAGE(C24:C28)</f>
        <v>52.6</v>
      </c>
      <c r="F28">
        <f>AVERAGE(D24:D28)</f>
        <v>43.2</v>
      </c>
      <c r="G28">
        <f>F28-E28</f>
        <v>-9.399999999999999</v>
      </c>
      <c r="H28" s="1">
        <v>38266</v>
      </c>
    </row>
    <row r="29" spans="1:8" ht="12.75">
      <c r="A29" s="1">
        <v>38268</v>
      </c>
      <c r="B29" t="s">
        <v>103</v>
      </c>
      <c r="C29">
        <v>50</v>
      </c>
      <c r="D29">
        <v>43</v>
      </c>
      <c r="E29">
        <f>AVERAGE(C25:C29)</f>
        <v>51.2</v>
      </c>
      <c r="F29">
        <f>AVERAGE(D25:D29)</f>
        <v>44</v>
      </c>
      <c r="G29">
        <f>F29-E29</f>
        <v>-7.200000000000003</v>
      </c>
      <c r="H29" s="1">
        <v>38266</v>
      </c>
    </row>
    <row r="30" spans="1:8" ht="12.75">
      <c r="A30" s="1">
        <v>38270</v>
      </c>
      <c r="B30" t="s">
        <v>152</v>
      </c>
      <c r="C30">
        <v>49</v>
      </c>
      <c r="D30">
        <v>46</v>
      </c>
      <c r="E30">
        <f>AVERAGE(C26:C30)</f>
        <v>50.6</v>
      </c>
      <c r="F30">
        <f>AVERAGE(D26:D30)</f>
        <v>44.4</v>
      </c>
      <c r="G30">
        <f>F30-E30</f>
        <v>-6.200000000000003</v>
      </c>
      <c r="H30" s="1">
        <v>38268</v>
      </c>
    </row>
    <row r="31" spans="1:8" ht="12.75">
      <c r="A31" s="1">
        <v>38273</v>
      </c>
      <c r="B31" t="s">
        <v>126</v>
      </c>
      <c r="C31">
        <v>51</v>
      </c>
      <c r="D31">
        <v>43</v>
      </c>
      <c r="E31">
        <f>AVERAGE(C27:C31)</f>
        <v>50.8</v>
      </c>
      <c r="F31">
        <f>AVERAGE(D27:D31)</f>
        <v>44.2</v>
      </c>
      <c r="G31">
        <f>F31-E31</f>
        <v>-6.599999999999994</v>
      </c>
      <c r="H31" s="1">
        <v>38271</v>
      </c>
    </row>
    <row r="32" spans="1:8" ht="12.75">
      <c r="A32" s="1">
        <v>38275</v>
      </c>
      <c r="B32" t="s">
        <v>109</v>
      </c>
      <c r="C32">
        <v>53</v>
      </c>
      <c r="D32">
        <v>45</v>
      </c>
      <c r="E32">
        <f>AVERAGE(C28:C32)</f>
        <v>51.4</v>
      </c>
      <c r="F32">
        <f>AVERAGE(D28:D32)</f>
        <v>44.4</v>
      </c>
      <c r="G32">
        <f>F32-E32</f>
        <v>-7</v>
      </c>
      <c r="H32" s="1">
        <v>38273</v>
      </c>
    </row>
    <row r="33" spans="1:11" ht="12.75">
      <c r="A33" s="1">
        <v>38276</v>
      </c>
      <c r="B33" t="s">
        <v>81</v>
      </c>
      <c r="C33">
        <v>49</v>
      </c>
      <c r="D33">
        <v>43</v>
      </c>
      <c r="E33">
        <f>AVERAGE(C29:C33)</f>
        <v>50.4</v>
      </c>
      <c r="F33">
        <f>AVERAGE(D29:D33)</f>
        <v>44</v>
      </c>
      <c r="G33">
        <f>F33-E33</f>
        <v>-6.399999999999999</v>
      </c>
      <c r="H33" s="1">
        <v>38274</v>
      </c>
      <c r="I33">
        <f>AVERAGE(C30:C33)</f>
        <v>50.5</v>
      </c>
      <c r="J33">
        <f>AVERAGE(D30:D33)</f>
        <v>44.25</v>
      </c>
      <c r="K33">
        <f>J33-I33</f>
        <v>-6.25</v>
      </c>
    </row>
    <row r="34" spans="1:8" ht="12.75">
      <c r="A34" s="1">
        <v>38280</v>
      </c>
      <c r="B34" t="s">
        <v>54</v>
      </c>
      <c r="C34">
        <v>46</v>
      </c>
      <c r="D34">
        <v>44</v>
      </c>
      <c r="E34">
        <f>AVERAGE(C30:C34)</f>
        <v>49.6</v>
      </c>
      <c r="F34">
        <f>AVERAGE(D30:D34)</f>
        <v>44.2</v>
      </c>
      <c r="G34">
        <f>F34-E34</f>
        <v>-5.399999999999999</v>
      </c>
      <c r="H34" s="1">
        <v>38278</v>
      </c>
    </row>
    <row r="35" spans="1:8" ht="12.75">
      <c r="A35" s="1">
        <v>38283</v>
      </c>
      <c r="B35" t="s">
        <v>169</v>
      </c>
      <c r="C35">
        <v>51</v>
      </c>
      <c r="D35">
        <v>46</v>
      </c>
      <c r="E35">
        <f>AVERAGE(C31:C35)</f>
        <v>50</v>
      </c>
      <c r="F35">
        <f>AVERAGE(D31:D35)</f>
        <v>44.2</v>
      </c>
      <c r="G35">
        <f>F35-E35</f>
        <v>-5.799999999999997</v>
      </c>
      <c r="H35" s="1">
        <v>38281</v>
      </c>
    </row>
    <row r="36" spans="1:8" ht="12.75">
      <c r="A36" s="1">
        <v>38283</v>
      </c>
      <c r="B36" t="s">
        <v>292</v>
      </c>
      <c r="C36">
        <v>47</v>
      </c>
      <c r="D36">
        <v>48</v>
      </c>
      <c r="E36">
        <f>AVERAGE(C32:C36)</f>
        <v>49.2</v>
      </c>
      <c r="F36">
        <f>AVERAGE(D32:D36)</f>
        <v>45.2</v>
      </c>
      <c r="G36">
        <f>F36-E36</f>
        <v>-4</v>
      </c>
      <c r="H36" s="1">
        <v>38281</v>
      </c>
    </row>
    <row r="37" spans="1:8" ht="12.75">
      <c r="A37" s="1">
        <v>38283</v>
      </c>
      <c r="B37" t="s">
        <v>103</v>
      </c>
      <c r="C37">
        <v>51</v>
      </c>
      <c r="D37">
        <v>45</v>
      </c>
      <c r="E37">
        <f>AVERAGE(C33:C37)</f>
        <v>48.8</v>
      </c>
      <c r="F37">
        <f>AVERAGE(D33:D37)</f>
        <v>45.2</v>
      </c>
      <c r="G37">
        <f>F37-E37</f>
        <v>-3.5999999999999943</v>
      </c>
      <c r="H37" s="1">
        <v>38281</v>
      </c>
    </row>
    <row r="38" spans="1:8" ht="12.75">
      <c r="A38" s="1">
        <v>38285</v>
      </c>
      <c r="B38" t="s">
        <v>89</v>
      </c>
      <c r="C38">
        <v>49</v>
      </c>
      <c r="D38">
        <v>43</v>
      </c>
      <c r="E38">
        <f>AVERAGE(C34:C38)</f>
        <v>48.8</v>
      </c>
      <c r="F38">
        <f>AVERAGE(D34:D38)</f>
        <v>45.2</v>
      </c>
      <c r="G38">
        <f>F38-E38</f>
        <v>-3.5999999999999943</v>
      </c>
      <c r="H38" s="1">
        <v>38282</v>
      </c>
    </row>
    <row r="39" spans="1:8" ht="12.75">
      <c r="A39" s="1">
        <v>38288</v>
      </c>
      <c r="B39" t="s">
        <v>152</v>
      </c>
      <c r="C39">
        <v>47</v>
      </c>
      <c r="D39">
        <v>48</v>
      </c>
      <c r="E39">
        <f>AVERAGE(C35:C39)</f>
        <v>49</v>
      </c>
      <c r="F39">
        <f>AVERAGE(D35:D39)</f>
        <v>46</v>
      </c>
      <c r="G39">
        <f>F39-E39</f>
        <v>-3</v>
      </c>
      <c r="H39" s="1">
        <v>38282</v>
      </c>
    </row>
    <row r="40" spans="1:8" ht="12.75">
      <c r="A40" s="1">
        <v>38288</v>
      </c>
      <c r="B40" t="s">
        <v>152</v>
      </c>
      <c r="C40">
        <v>48</v>
      </c>
      <c r="D40">
        <v>47</v>
      </c>
      <c r="E40">
        <f>AVERAGE(C36:C40)</f>
        <v>48.4</v>
      </c>
      <c r="F40">
        <f>AVERAGE(D36:D40)</f>
        <v>46.2</v>
      </c>
      <c r="G40">
        <f>F40-E40</f>
        <v>-2.1999999999999957</v>
      </c>
      <c r="H40" s="1">
        <v>38286</v>
      </c>
    </row>
    <row r="41" spans="1:8" ht="12.75">
      <c r="A41" s="1">
        <v>38289</v>
      </c>
      <c r="B41" t="s">
        <v>109</v>
      </c>
      <c r="C41">
        <v>52</v>
      </c>
      <c r="D41">
        <v>47</v>
      </c>
      <c r="E41">
        <f>AVERAGE(C37:C41)</f>
        <v>49.4</v>
      </c>
      <c r="F41">
        <f>AVERAGE(D37:D41)</f>
        <v>46</v>
      </c>
      <c r="G41">
        <f>F41-E41</f>
        <v>-3.3999999999999986</v>
      </c>
      <c r="H41" s="1">
        <v>38287</v>
      </c>
    </row>
    <row r="42" spans="1:8" ht="12.75">
      <c r="A42" s="1">
        <v>38291</v>
      </c>
      <c r="B42" t="s">
        <v>81</v>
      </c>
      <c r="C42">
        <v>47</v>
      </c>
      <c r="D42">
        <v>44</v>
      </c>
      <c r="E42">
        <f>AVERAGE(C38:C42)</f>
        <v>48.6</v>
      </c>
      <c r="F42">
        <f>AVERAGE(D38:D42)</f>
        <v>45.8</v>
      </c>
      <c r="G42">
        <f>F42-E42</f>
        <v>-2.8000000000000043</v>
      </c>
      <c r="H42" s="1">
        <v>38289</v>
      </c>
    </row>
    <row r="43" spans="1:8" ht="12.75">
      <c r="A43" s="1">
        <v>38291</v>
      </c>
      <c r="B43" t="s">
        <v>169</v>
      </c>
      <c r="C43">
        <v>52</v>
      </c>
      <c r="D43">
        <v>47</v>
      </c>
      <c r="E43">
        <f>AVERAGE(C39:C43)</f>
        <v>49.2</v>
      </c>
      <c r="F43">
        <f>AVERAGE(D39:D43)</f>
        <v>46.6</v>
      </c>
      <c r="G43">
        <f>F43-E43</f>
        <v>-2.6000000000000014</v>
      </c>
      <c r="H43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H7"/>
  <sheetViews>
    <sheetView zoomScalePageLayoutView="0" workbookViewId="0" topLeftCell="A1">
      <selection activeCell="C5" sqref="C5"/>
    </sheetView>
  </sheetViews>
  <sheetFormatPr defaultColWidth="11.00390625" defaultRowHeight="12.75"/>
  <sheetData>
    <row r="3" spans="3:7" ht="12.75">
      <c r="C3" s="3" t="s">
        <v>39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31</v>
      </c>
      <c r="D5">
        <v>61</v>
      </c>
      <c r="E5">
        <f aca="true" t="shared" si="0" ref="E5:F7">AVERAGE(C1:C5)</f>
        <v>31</v>
      </c>
      <c r="F5">
        <f t="shared" si="0"/>
        <v>61</v>
      </c>
      <c r="G5">
        <f>F5-E5</f>
        <v>30</v>
      </c>
      <c r="H5" s="1">
        <v>38045</v>
      </c>
    </row>
    <row r="6" spans="1:8" ht="12.75">
      <c r="A6" s="1">
        <v>38247</v>
      </c>
      <c r="B6" t="s">
        <v>59</v>
      </c>
      <c r="C6">
        <v>32</v>
      </c>
      <c r="D6">
        <v>63</v>
      </c>
      <c r="E6">
        <f t="shared" si="0"/>
        <v>31.5</v>
      </c>
      <c r="F6">
        <f t="shared" si="0"/>
        <v>62</v>
      </c>
      <c r="G6">
        <f>F6-E6</f>
        <v>30.5</v>
      </c>
      <c r="H6" s="1">
        <v>38242</v>
      </c>
    </row>
    <row r="7" spans="1:8" ht="12.75">
      <c r="A7" s="1">
        <v>38254</v>
      </c>
      <c r="B7" t="s">
        <v>169</v>
      </c>
      <c r="C7">
        <v>27</v>
      </c>
      <c r="D7">
        <v>68</v>
      </c>
      <c r="E7">
        <f t="shared" si="0"/>
        <v>30</v>
      </c>
      <c r="F7">
        <f t="shared" si="0"/>
        <v>64</v>
      </c>
      <c r="G7">
        <f>F7-E7</f>
        <v>34</v>
      </c>
      <c r="H7" s="1">
        <v>38252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11"/>
  <sheetViews>
    <sheetView zoomScalePageLayoutView="0" workbookViewId="0" topLeftCell="A1">
      <selection activeCell="C7" sqref="C7"/>
    </sheetView>
  </sheetViews>
  <sheetFormatPr defaultColWidth="11.00390625" defaultRowHeight="12.75"/>
  <sheetData>
    <row r="3" spans="3:7" ht="12.75">
      <c r="C3" s="3" t="s">
        <v>40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52</v>
      </c>
      <c r="D5">
        <v>39</v>
      </c>
      <c r="E5">
        <f aca="true" t="shared" si="0" ref="E5:F11">AVERAGE(C1:C5)</f>
        <v>52</v>
      </c>
      <c r="F5">
        <f t="shared" si="0"/>
        <v>39</v>
      </c>
      <c r="G5">
        <f aca="true" t="shared" si="1" ref="G5:G11">F5-E5</f>
        <v>-13</v>
      </c>
      <c r="H5" s="1">
        <v>38044</v>
      </c>
    </row>
    <row r="6" spans="1:8" ht="12.75">
      <c r="A6" s="1">
        <v>38199</v>
      </c>
      <c r="B6" t="s">
        <v>208</v>
      </c>
      <c r="C6">
        <v>53</v>
      </c>
      <c r="D6">
        <v>37</v>
      </c>
      <c r="E6">
        <f t="shared" si="0"/>
        <v>52.5</v>
      </c>
      <c r="F6">
        <f t="shared" si="0"/>
        <v>38</v>
      </c>
      <c r="G6">
        <f t="shared" si="1"/>
        <v>-14.5</v>
      </c>
      <c r="H6" s="1">
        <v>38197</v>
      </c>
    </row>
    <row r="7" spans="1:8" ht="12.75">
      <c r="A7" s="1">
        <v>38226</v>
      </c>
      <c r="B7" t="s">
        <v>111</v>
      </c>
      <c r="C7">
        <v>52</v>
      </c>
      <c r="D7">
        <v>29</v>
      </c>
      <c r="E7">
        <f t="shared" si="0"/>
        <v>52.333333333333336</v>
      </c>
      <c r="F7">
        <f t="shared" si="0"/>
        <v>35</v>
      </c>
      <c r="G7">
        <f t="shared" si="1"/>
        <v>-17.333333333333336</v>
      </c>
      <c r="H7" s="1">
        <v>38220</v>
      </c>
    </row>
    <row r="8" spans="1:8" ht="12.75">
      <c r="A8" s="1">
        <v>38241</v>
      </c>
      <c r="B8" t="s">
        <v>169</v>
      </c>
      <c r="C8">
        <v>68</v>
      </c>
      <c r="D8">
        <v>29</v>
      </c>
      <c r="E8">
        <f t="shared" si="0"/>
        <v>56.25</v>
      </c>
      <c r="F8">
        <f t="shared" si="0"/>
        <v>33.5</v>
      </c>
      <c r="G8">
        <f t="shared" si="1"/>
        <v>-22.75</v>
      </c>
      <c r="H8" s="1">
        <v>38238</v>
      </c>
    </row>
    <row r="9" spans="1:8" ht="12.75">
      <c r="A9" s="1">
        <v>38247</v>
      </c>
      <c r="B9" t="s">
        <v>59</v>
      </c>
      <c r="C9">
        <v>68</v>
      </c>
      <c r="D9">
        <v>25</v>
      </c>
      <c r="E9">
        <f t="shared" si="0"/>
        <v>58.6</v>
      </c>
      <c r="F9">
        <f t="shared" si="0"/>
        <v>31.8</v>
      </c>
      <c r="G9">
        <f t="shared" si="1"/>
        <v>-26.8</v>
      </c>
      <c r="H9" s="1">
        <v>38242</v>
      </c>
    </row>
    <row r="10" spans="1:8" ht="12.75">
      <c r="A10" s="1">
        <v>38249</v>
      </c>
      <c r="B10" t="s">
        <v>208</v>
      </c>
      <c r="C10">
        <v>62</v>
      </c>
      <c r="D10">
        <v>33</v>
      </c>
      <c r="E10">
        <f t="shared" si="0"/>
        <v>60.6</v>
      </c>
      <c r="F10">
        <f t="shared" si="0"/>
        <v>30.6</v>
      </c>
      <c r="G10">
        <f t="shared" si="1"/>
        <v>-30</v>
      </c>
      <c r="H10" s="1">
        <v>38246</v>
      </c>
    </row>
    <row r="11" spans="1:8" ht="12.75">
      <c r="A11" s="1">
        <v>38290</v>
      </c>
      <c r="B11" t="s">
        <v>7</v>
      </c>
      <c r="C11">
        <v>55</v>
      </c>
      <c r="D11">
        <v>32</v>
      </c>
      <c r="E11">
        <f t="shared" si="0"/>
        <v>61</v>
      </c>
      <c r="F11">
        <f t="shared" si="0"/>
        <v>29.6</v>
      </c>
      <c r="G11">
        <f t="shared" si="1"/>
        <v>-31.4</v>
      </c>
      <c r="H11" s="1">
        <v>38281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F18" sqref="F18"/>
    </sheetView>
  </sheetViews>
  <sheetFormatPr defaultColWidth="11.00390625" defaultRowHeight="12.75"/>
  <sheetData>
    <row r="3" spans="3:7" ht="12.75">
      <c r="C3" s="3" t="s">
        <v>43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38119</v>
      </c>
      <c r="B5" t="s">
        <v>302</v>
      </c>
      <c r="C5">
        <v>37</v>
      </c>
      <c r="D5">
        <v>58</v>
      </c>
      <c r="E5">
        <f aca="true" t="shared" si="0" ref="E5:F18">AVERAGE(C1:C5)</f>
        <v>37</v>
      </c>
      <c r="F5">
        <f t="shared" si="0"/>
        <v>58</v>
      </c>
      <c r="G5">
        <f aca="true" t="shared" si="1" ref="G5:G18">F5-E5</f>
        <v>21</v>
      </c>
      <c r="H5" s="1">
        <v>38009</v>
      </c>
    </row>
    <row r="6" spans="1:8" ht="12.75">
      <c r="A6" s="1">
        <v>38051</v>
      </c>
      <c r="B6" t="s">
        <v>126</v>
      </c>
      <c r="C6">
        <v>31</v>
      </c>
      <c r="D6">
        <v>60</v>
      </c>
      <c r="E6">
        <f t="shared" si="0"/>
        <v>34</v>
      </c>
      <c r="F6">
        <f t="shared" si="0"/>
        <v>59</v>
      </c>
      <c r="G6">
        <f t="shared" si="1"/>
        <v>25</v>
      </c>
      <c r="H6" s="1">
        <v>38044</v>
      </c>
    </row>
    <row r="7" spans="1:8" ht="12.75">
      <c r="A7" s="1">
        <v>38176</v>
      </c>
      <c r="B7" t="s">
        <v>239</v>
      </c>
      <c r="C7">
        <v>32</v>
      </c>
      <c r="D7">
        <v>52</v>
      </c>
      <c r="E7">
        <f t="shared" si="0"/>
        <v>33.333333333333336</v>
      </c>
      <c r="F7">
        <f t="shared" si="0"/>
        <v>56.666666666666664</v>
      </c>
      <c r="G7">
        <f t="shared" si="1"/>
        <v>23.33333333333333</v>
      </c>
      <c r="H7" s="1">
        <v>38167</v>
      </c>
    </row>
    <row r="8" spans="1:8" ht="12.75">
      <c r="A8" s="1">
        <v>38178</v>
      </c>
      <c r="B8" t="s">
        <v>169</v>
      </c>
      <c r="C8">
        <v>37</v>
      </c>
      <c r="D8">
        <v>50</v>
      </c>
      <c r="E8">
        <f t="shared" si="0"/>
        <v>34.25</v>
      </c>
      <c r="F8">
        <f t="shared" si="0"/>
        <v>55</v>
      </c>
      <c r="G8">
        <f t="shared" si="1"/>
        <v>20.75</v>
      </c>
      <c r="H8" s="1">
        <v>38177</v>
      </c>
    </row>
    <row r="9" spans="1:8" ht="12.75">
      <c r="A9" s="1">
        <v>38217</v>
      </c>
      <c r="B9" t="s">
        <v>169</v>
      </c>
      <c r="C9">
        <v>40</v>
      </c>
      <c r="D9">
        <v>55</v>
      </c>
      <c r="E9">
        <f t="shared" si="0"/>
        <v>35.4</v>
      </c>
      <c r="F9">
        <f t="shared" si="0"/>
        <v>55</v>
      </c>
      <c r="G9">
        <f t="shared" si="1"/>
        <v>19.6</v>
      </c>
      <c r="H9" s="1">
        <v>38210</v>
      </c>
    </row>
    <row r="10" spans="1:8" ht="12.75">
      <c r="A10" s="1">
        <v>38247</v>
      </c>
      <c r="B10" t="s">
        <v>59</v>
      </c>
      <c r="C10">
        <v>45</v>
      </c>
      <c r="D10">
        <v>51</v>
      </c>
      <c r="E10">
        <f t="shared" si="0"/>
        <v>37</v>
      </c>
      <c r="F10">
        <f t="shared" si="0"/>
        <v>53.6</v>
      </c>
      <c r="G10">
        <f t="shared" si="1"/>
        <v>16.6</v>
      </c>
      <c r="H10" s="1">
        <v>38242</v>
      </c>
    </row>
    <row r="11" spans="1:8" ht="12.75">
      <c r="A11" s="1">
        <v>38248</v>
      </c>
      <c r="B11" t="s">
        <v>26</v>
      </c>
      <c r="C11">
        <v>37</v>
      </c>
      <c r="D11">
        <v>53</v>
      </c>
      <c r="E11">
        <f t="shared" si="0"/>
        <v>38.2</v>
      </c>
      <c r="F11">
        <f t="shared" si="0"/>
        <v>52.2</v>
      </c>
      <c r="G11">
        <f t="shared" si="1"/>
        <v>14</v>
      </c>
      <c r="H11" s="1">
        <v>38246</v>
      </c>
    </row>
    <row r="12" spans="1:8" ht="12.75">
      <c r="A12" s="1">
        <v>38249</v>
      </c>
      <c r="B12" t="s">
        <v>169</v>
      </c>
      <c r="C12">
        <v>40</v>
      </c>
      <c r="D12">
        <v>56</v>
      </c>
      <c r="E12">
        <f t="shared" si="0"/>
        <v>39.8</v>
      </c>
      <c r="F12">
        <f t="shared" si="0"/>
        <v>53</v>
      </c>
      <c r="G12">
        <f t="shared" si="1"/>
        <v>13.200000000000003</v>
      </c>
      <c r="H12" s="1">
        <v>38246</v>
      </c>
    </row>
    <row r="13" spans="1:8" ht="12.75">
      <c r="A13" s="1">
        <v>38249</v>
      </c>
      <c r="B13" t="s">
        <v>208</v>
      </c>
      <c r="C13">
        <v>36</v>
      </c>
      <c r="D13">
        <v>56</v>
      </c>
      <c r="E13">
        <f t="shared" si="0"/>
        <v>39.6</v>
      </c>
      <c r="F13">
        <f t="shared" si="0"/>
        <v>54.2</v>
      </c>
      <c r="G13">
        <f t="shared" si="1"/>
        <v>14.600000000000001</v>
      </c>
      <c r="H13" s="1">
        <v>38247</v>
      </c>
    </row>
    <row r="14" spans="1:8" ht="12.75">
      <c r="A14" s="1">
        <v>38275</v>
      </c>
      <c r="B14" t="s">
        <v>169</v>
      </c>
      <c r="C14">
        <v>39</v>
      </c>
      <c r="D14">
        <v>56</v>
      </c>
      <c r="E14">
        <f t="shared" si="0"/>
        <v>39.4</v>
      </c>
      <c r="F14">
        <f t="shared" si="0"/>
        <v>54.4</v>
      </c>
      <c r="G14">
        <f t="shared" si="1"/>
        <v>15</v>
      </c>
      <c r="H14" s="1">
        <v>38272</v>
      </c>
    </row>
    <row r="15" spans="1:8" ht="12.75">
      <c r="A15" s="1">
        <v>38281</v>
      </c>
      <c r="B15" t="s">
        <v>280</v>
      </c>
      <c r="C15">
        <v>36</v>
      </c>
      <c r="D15">
        <v>59</v>
      </c>
      <c r="E15">
        <f t="shared" si="0"/>
        <v>37.6</v>
      </c>
      <c r="F15">
        <f t="shared" si="0"/>
        <v>56</v>
      </c>
      <c r="G15">
        <f t="shared" si="1"/>
        <v>18.4</v>
      </c>
      <c r="H15" s="1">
        <v>38277</v>
      </c>
    </row>
    <row r="16" spans="1:8" ht="12.75">
      <c r="A16" s="1">
        <v>38281</v>
      </c>
      <c r="B16" t="s">
        <v>293</v>
      </c>
      <c r="C16">
        <v>32</v>
      </c>
      <c r="D16">
        <v>56</v>
      </c>
      <c r="E16">
        <f t="shared" si="0"/>
        <v>36.6</v>
      </c>
      <c r="F16">
        <f t="shared" si="0"/>
        <v>56.6</v>
      </c>
      <c r="G16">
        <f t="shared" si="1"/>
        <v>20</v>
      </c>
      <c r="H16" s="1">
        <v>38277</v>
      </c>
    </row>
    <row r="17" spans="1:8" ht="12.75">
      <c r="A17" s="1">
        <v>38282</v>
      </c>
      <c r="B17" t="s">
        <v>296</v>
      </c>
      <c r="C17">
        <v>32</v>
      </c>
      <c r="D17">
        <v>61</v>
      </c>
      <c r="E17">
        <f t="shared" si="0"/>
        <v>35</v>
      </c>
      <c r="F17">
        <f t="shared" si="0"/>
        <v>57.6</v>
      </c>
      <c r="G17">
        <f t="shared" si="1"/>
        <v>22.6</v>
      </c>
      <c r="H17" s="1">
        <v>38281</v>
      </c>
    </row>
    <row r="18" spans="1:8" ht="12.75">
      <c r="A18" s="1">
        <v>38287</v>
      </c>
      <c r="B18" t="s">
        <v>208</v>
      </c>
      <c r="C18">
        <v>35</v>
      </c>
      <c r="D18">
        <v>59</v>
      </c>
      <c r="E18">
        <f t="shared" si="0"/>
        <v>34.8</v>
      </c>
      <c r="F18">
        <f t="shared" si="0"/>
        <v>58.2</v>
      </c>
      <c r="G18">
        <f t="shared" si="1"/>
        <v>23.400000000000006</v>
      </c>
      <c r="H18" s="1">
        <v>38282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K39"/>
  <sheetViews>
    <sheetView zoomScalePageLayoutView="0" workbookViewId="0" topLeftCell="A1">
      <selection activeCell="H40" sqref="H40"/>
    </sheetView>
  </sheetViews>
  <sheetFormatPr defaultColWidth="11.00390625" defaultRowHeight="12.75"/>
  <sheetData>
    <row r="3" spans="2:7" ht="12.75">
      <c r="B3" t="s">
        <v>46</v>
      </c>
      <c r="C3" s="3" t="s">
        <v>44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97</v>
      </c>
    </row>
    <row r="5" spans="1:8" ht="12.75">
      <c r="A5" s="1">
        <v>38120</v>
      </c>
      <c r="B5" t="s">
        <v>126</v>
      </c>
      <c r="C5">
        <v>50</v>
      </c>
      <c r="D5">
        <v>40</v>
      </c>
      <c r="E5">
        <f>AVERAGE(C1:C5)</f>
        <v>50</v>
      </c>
      <c r="F5">
        <f>AVERAGE(D1:D5)</f>
        <v>40</v>
      </c>
      <c r="G5">
        <f>F5-E5</f>
        <v>-10</v>
      </c>
      <c r="H5" s="1">
        <v>38020</v>
      </c>
    </row>
    <row r="6" spans="1:8" ht="12.75">
      <c r="A6" s="1">
        <v>38051</v>
      </c>
      <c r="B6" t="s">
        <v>126</v>
      </c>
      <c r="C6">
        <v>50</v>
      </c>
      <c r="D6">
        <v>41</v>
      </c>
      <c r="E6">
        <f>AVERAGE(C2:C6)</f>
        <v>50</v>
      </c>
      <c r="F6">
        <f>AVERAGE(D2:D6)</f>
        <v>40.5</v>
      </c>
      <c r="G6">
        <f>F6-E6</f>
        <v>-9.5</v>
      </c>
      <c r="H6" s="1">
        <v>38044</v>
      </c>
    </row>
    <row r="7" spans="1:8" ht="12.75">
      <c r="A7" s="1">
        <v>38108</v>
      </c>
      <c r="B7" t="s">
        <v>191</v>
      </c>
      <c r="C7">
        <v>51</v>
      </c>
      <c r="D7">
        <v>44</v>
      </c>
      <c r="E7">
        <f>AVERAGE(C3:C7)</f>
        <v>50.333333333333336</v>
      </c>
      <c r="F7">
        <f>AVERAGE(D3:D7)</f>
        <v>41.666666666666664</v>
      </c>
      <c r="G7">
        <f>F7-E7</f>
        <v>-8.666666666666671</v>
      </c>
      <c r="H7" s="1">
        <v>38092</v>
      </c>
    </row>
    <row r="8" spans="1:8" ht="12.75">
      <c r="A8" s="1">
        <v>38128</v>
      </c>
      <c r="B8" t="s">
        <v>283</v>
      </c>
      <c r="C8">
        <v>41</v>
      </c>
      <c r="D8">
        <v>49</v>
      </c>
      <c r="E8">
        <f>AVERAGE(C4:C8)</f>
        <v>48</v>
      </c>
      <c r="F8">
        <f>AVERAGE(D4:D8)</f>
        <v>43.5</v>
      </c>
      <c r="G8">
        <f>F8-E8</f>
        <v>-4.5</v>
      </c>
      <c r="H8" s="1">
        <v>38099</v>
      </c>
    </row>
    <row r="9" spans="1:8" ht="12.75">
      <c r="A9" s="1">
        <v>38101</v>
      </c>
      <c r="B9" t="s">
        <v>208</v>
      </c>
      <c r="C9">
        <v>51</v>
      </c>
      <c r="D9">
        <v>43</v>
      </c>
      <c r="E9">
        <f>AVERAGE(C5:C9)</f>
        <v>48.6</v>
      </c>
      <c r="F9">
        <f>AVERAGE(D5:D9)</f>
        <v>43.4</v>
      </c>
      <c r="G9">
        <f>F9-E9</f>
        <v>-5.200000000000003</v>
      </c>
      <c r="H9" s="1">
        <v>38100</v>
      </c>
    </row>
    <row r="10" spans="1:8" ht="12.75">
      <c r="A10" s="1">
        <v>38108</v>
      </c>
      <c r="B10" t="s">
        <v>191</v>
      </c>
      <c r="C10">
        <v>47</v>
      </c>
      <c r="D10">
        <v>48</v>
      </c>
      <c r="E10">
        <f>AVERAGE(C6:C10)</f>
        <v>48</v>
      </c>
      <c r="F10">
        <f>AVERAGE(D6:D10)</f>
        <v>45</v>
      </c>
      <c r="G10">
        <f>F10-E10</f>
        <v>-3</v>
      </c>
      <c r="H10" s="1">
        <v>38106</v>
      </c>
    </row>
    <row r="11" spans="1:8" ht="12.75">
      <c r="A11" s="1">
        <v>38147</v>
      </c>
      <c r="B11" t="s">
        <v>87</v>
      </c>
      <c r="C11">
        <v>47</v>
      </c>
      <c r="D11">
        <v>38</v>
      </c>
      <c r="E11">
        <f>AVERAGE(C7:C11)</f>
        <v>47.4</v>
      </c>
      <c r="F11">
        <f>AVERAGE(D7:D11)</f>
        <v>44.4</v>
      </c>
      <c r="G11">
        <f>F11-E11</f>
        <v>-3</v>
      </c>
      <c r="H11" s="1">
        <v>38138</v>
      </c>
    </row>
    <row r="12" spans="1:8" ht="12.75">
      <c r="A12" s="1">
        <v>38162</v>
      </c>
      <c r="B12" t="s">
        <v>126</v>
      </c>
      <c r="C12">
        <v>47</v>
      </c>
      <c r="D12">
        <v>48</v>
      </c>
      <c r="E12">
        <f>AVERAGE(C8:C12)</f>
        <v>46.6</v>
      </c>
      <c r="F12">
        <f>AVERAGE(D8:D12)</f>
        <v>45.2</v>
      </c>
      <c r="G12">
        <f>F12-E12</f>
        <v>-1.3999999999999986</v>
      </c>
      <c r="H12" s="1">
        <v>38161</v>
      </c>
    </row>
    <row r="13" spans="1:8" ht="12.75">
      <c r="A13" s="1">
        <v>38176</v>
      </c>
      <c r="B13" t="s">
        <v>239</v>
      </c>
      <c r="C13">
        <v>40</v>
      </c>
      <c r="D13">
        <v>39</v>
      </c>
      <c r="E13">
        <f>AVERAGE(C9:C13)</f>
        <v>46.4</v>
      </c>
      <c r="F13">
        <f>AVERAGE(D9:D13)</f>
        <v>43.2</v>
      </c>
      <c r="G13">
        <f>F13-E13</f>
        <v>-3.1999999999999957</v>
      </c>
      <c r="H13" s="1">
        <v>38167</v>
      </c>
    </row>
    <row r="14" spans="1:8" ht="12.75">
      <c r="A14" s="1">
        <v>38218</v>
      </c>
      <c r="B14" t="s">
        <v>126</v>
      </c>
      <c r="C14">
        <v>50</v>
      </c>
      <c r="D14">
        <v>44</v>
      </c>
      <c r="E14">
        <f>AVERAGE(C10:C14)</f>
        <v>46.2</v>
      </c>
      <c r="F14">
        <f>AVERAGE(D10:D14)</f>
        <v>43.4</v>
      </c>
      <c r="G14">
        <f>F14-E14</f>
        <v>-2.8000000000000043</v>
      </c>
      <c r="H14" s="1">
        <v>38216</v>
      </c>
    </row>
    <row r="15" spans="1:8" ht="12.75">
      <c r="A15" s="1">
        <v>38221</v>
      </c>
      <c r="B15" t="s">
        <v>169</v>
      </c>
      <c r="C15">
        <v>49</v>
      </c>
      <c r="D15">
        <v>43</v>
      </c>
      <c r="E15">
        <f>AVERAGE(C11:C15)</f>
        <v>46.6</v>
      </c>
      <c r="F15">
        <f>AVERAGE(D11:D15)</f>
        <v>42.4</v>
      </c>
      <c r="G15">
        <f>F15-E15</f>
        <v>-4.200000000000003</v>
      </c>
      <c r="H15" s="1">
        <v>38219</v>
      </c>
    </row>
    <row r="16" spans="1:8" ht="12.75">
      <c r="A16" s="1">
        <v>38235</v>
      </c>
      <c r="B16" t="s">
        <v>252</v>
      </c>
      <c r="C16">
        <v>45</v>
      </c>
      <c r="D16">
        <v>43</v>
      </c>
      <c r="E16">
        <f>AVERAGE(C12:C16)</f>
        <v>46.2</v>
      </c>
      <c r="F16">
        <f>AVERAGE(D12:D16)</f>
        <v>43.4</v>
      </c>
      <c r="G16">
        <f>F16-E16</f>
        <v>-2.8000000000000043</v>
      </c>
      <c r="H16" s="1">
        <v>38228</v>
      </c>
    </row>
    <row r="17" spans="1:8" ht="12.75">
      <c r="A17" s="1">
        <v>38247</v>
      </c>
      <c r="B17" t="s">
        <v>109</v>
      </c>
      <c r="C17">
        <v>48</v>
      </c>
      <c r="D17">
        <v>43</v>
      </c>
      <c r="E17">
        <f>AVERAGE(C13:C17)</f>
        <v>46.4</v>
      </c>
      <c r="F17">
        <f>AVERAGE(D13:D17)</f>
        <v>42.4</v>
      </c>
      <c r="G17">
        <f>F17-E17</f>
        <v>-4</v>
      </c>
      <c r="H17" s="1">
        <v>38245</v>
      </c>
    </row>
    <row r="18" spans="1:8" ht="12.75">
      <c r="A18" s="1">
        <v>38247</v>
      </c>
      <c r="B18" t="s">
        <v>20</v>
      </c>
      <c r="C18">
        <v>44</v>
      </c>
      <c r="D18">
        <v>47</v>
      </c>
      <c r="E18">
        <f>AVERAGE(C14:C18)</f>
        <v>47.2</v>
      </c>
      <c r="F18">
        <f>AVERAGE(D14:D18)</f>
        <v>44</v>
      </c>
      <c r="G18">
        <f>F18-E18</f>
        <v>-3.200000000000003</v>
      </c>
      <c r="H18" s="1">
        <v>38245</v>
      </c>
    </row>
    <row r="19" spans="1:8" ht="12.75">
      <c r="A19" s="1">
        <v>38249</v>
      </c>
      <c r="B19" t="s">
        <v>59</v>
      </c>
      <c r="C19">
        <v>47</v>
      </c>
      <c r="D19">
        <v>44</v>
      </c>
      <c r="E19">
        <f>AVERAGE(C15:C19)</f>
        <v>46.6</v>
      </c>
      <c r="F19">
        <f>AVERAGE(D15:D19)</f>
        <v>44</v>
      </c>
      <c r="G19">
        <f>F19-E19</f>
        <v>-2.6000000000000014</v>
      </c>
      <c r="H19" s="1">
        <v>38245</v>
      </c>
    </row>
    <row r="20" spans="1:8" ht="12.75">
      <c r="A20" s="1">
        <v>38248</v>
      </c>
      <c r="B20" t="s">
        <v>26</v>
      </c>
      <c r="C20">
        <v>47</v>
      </c>
      <c r="D20">
        <v>43</v>
      </c>
      <c r="E20">
        <f>AVERAGE(C16:C20)</f>
        <v>46.2</v>
      </c>
      <c r="F20">
        <f>AVERAGE(D16:D20)</f>
        <v>44</v>
      </c>
      <c r="G20">
        <f>F20-E20</f>
        <v>-2.200000000000003</v>
      </c>
      <c r="H20" s="1">
        <v>38246</v>
      </c>
    </row>
    <row r="21" spans="1:8" ht="12.75">
      <c r="A21" s="1">
        <v>38249</v>
      </c>
      <c r="B21" t="s">
        <v>169</v>
      </c>
      <c r="C21">
        <v>49</v>
      </c>
      <c r="D21">
        <v>47</v>
      </c>
      <c r="E21">
        <f>AVERAGE(C17:C21)</f>
        <v>47</v>
      </c>
      <c r="F21">
        <f>AVERAGE(D17:D21)</f>
        <v>44.8</v>
      </c>
      <c r="G21">
        <f>F21-E21</f>
        <v>-2.200000000000003</v>
      </c>
      <c r="H21" s="1">
        <v>38247</v>
      </c>
    </row>
    <row r="22" spans="1:8" ht="12.75">
      <c r="A22" s="1">
        <v>38260</v>
      </c>
      <c r="B22" t="s">
        <v>126</v>
      </c>
      <c r="C22">
        <v>48</v>
      </c>
      <c r="D22">
        <v>45</v>
      </c>
      <c r="E22">
        <f>AVERAGE(C18:C22)</f>
        <v>47</v>
      </c>
      <c r="F22">
        <f>AVERAGE(D18:D22)</f>
        <v>45.2</v>
      </c>
      <c r="G22">
        <f>F22-E22</f>
        <v>-1.7999999999999972</v>
      </c>
      <c r="H22" s="1">
        <v>38258</v>
      </c>
    </row>
    <row r="23" spans="1:8" ht="12.75">
      <c r="A23" s="1">
        <v>38262</v>
      </c>
      <c r="B23" t="s">
        <v>208</v>
      </c>
      <c r="C23">
        <v>46</v>
      </c>
      <c r="D23">
        <v>45</v>
      </c>
      <c r="E23">
        <f>AVERAGE(C19:C23)</f>
        <v>47.4</v>
      </c>
      <c r="F23">
        <f>AVERAGE(D19:D23)</f>
        <v>44.8</v>
      </c>
      <c r="G23">
        <f>F23-E23</f>
        <v>-2.6000000000000014</v>
      </c>
      <c r="H23" s="1">
        <v>38259</v>
      </c>
    </row>
    <row r="24" spans="1:8" ht="12.75">
      <c r="A24" s="1">
        <v>38266</v>
      </c>
      <c r="B24" t="s">
        <v>193</v>
      </c>
      <c r="C24">
        <v>46</v>
      </c>
      <c r="D24">
        <v>46</v>
      </c>
      <c r="E24">
        <f>AVERAGE(C20:C24)</f>
        <v>47.2</v>
      </c>
      <c r="F24">
        <f>AVERAGE(D20:D24)</f>
        <v>45.2</v>
      </c>
      <c r="G24">
        <f>F24-E24</f>
        <v>-2</v>
      </c>
      <c r="H24" s="1">
        <v>38262</v>
      </c>
    </row>
    <row r="25" spans="1:8" ht="12.75">
      <c r="A25" s="1">
        <v>38266</v>
      </c>
      <c r="B25" t="s">
        <v>109</v>
      </c>
      <c r="C25">
        <v>48</v>
      </c>
      <c r="D25">
        <v>46</v>
      </c>
      <c r="E25">
        <f>AVERAGE(C21:C25)</f>
        <v>47.4</v>
      </c>
      <c r="F25">
        <f>AVERAGE(D21:D25)</f>
        <v>45.8</v>
      </c>
      <c r="G25">
        <f>F25-E25</f>
        <v>-1.6000000000000014</v>
      </c>
      <c r="H25" s="1">
        <v>38265</v>
      </c>
    </row>
    <row r="26" spans="1:8" ht="12.75">
      <c r="A26" s="1">
        <v>38269</v>
      </c>
      <c r="B26" t="s">
        <v>169</v>
      </c>
      <c r="C26">
        <v>50</v>
      </c>
      <c r="D26">
        <v>43</v>
      </c>
      <c r="E26">
        <f>AVERAGE(C22:C26)</f>
        <v>47.6</v>
      </c>
      <c r="F26">
        <f>AVERAGE(D22:D26)</f>
        <v>45</v>
      </c>
      <c r="G26">
        <f>F26-E26</f>
        <v>-2.6000000000000014</v>
      </c>
      <c r="H26" s="1">
        <v>38267</v>
      </c>
    </row>
    <row r="27" spans="1:11" ht="12.75">
      <c r="A27" s="1">
        <v>38276</v>
      </c>
      <c r="B27" t="s">
        <v>41</v>
      </c>
      <c r="C27">
        <v>48.5</v>
      </c>
      <c r="D27">
        <v>44.3</v>
      </c>
      <c r="E27">
        <f>AVERAGE(C23:C27)</f>
        <v>47.7</v>
      </c>
      <c r="F27">
        <f>AVERAGE(D23:D27)</f>
        <v>44.86</v>
      </c>
      <c r="G27">
        <f>F27-E27</f>
        <v>-2.8400000000000034</v>
      </c>
      <c r="H27" s="1">
        <v>38272</v>
      </c>
      <c r="I27">
        <f>AVERAGE(C26:C27)</f>
        <v>49.25</v>
      </c>
      <c r="J27">
        <f>AVERAGE(D26:D27)</f>
        <v>43.65</v>
      </c>
      <c r="K27">
        <f>J27-I27</f>
        <v>-5.600000000000001</v>
      </c>
    </row>
    <row r="28" spans="1:8" ht="12.75">
      <c r="A28" s="1">
        <v>38281</v>
      </c>
      <c r="B28" t="s">
        <v>93</v>
      </c>
      <c r="C28">
        <v>46</v>
      </c>
      <c r="D28">
        <v>48</v>
      </c>
      <c r="E28">
        <f>AVERAGE(C24:C28)</f>
        <v>47.7</v>
      </c>
      <c r="F28">
        <f>AVERAGE(D24:D28)</f>
        <v>45.46</v>
      </c>
      <c r="G28">
        <f>F28-E28</f>
        <v>-2.240000000000002</v>
      </c>
      <c r="H28" s="1">
        <v>38278</v>
      </c>
    </row>
    <row r="29" spans="1:8" ht="12.75">
      <c r="A29" s="1">
        <v>38281</v>
      </c>
      <c r="B29" t="s">
        <v>41</v>
      </c>
      <c r="C29">
        <v>53</v>
      </c>
      <c r="D29">
        <v>42</v>
      </c>
      <c r="E29">
        <f>AVERAGE(C25:C29)</f>
        <v>49.1</v>
      </c>
      <c r="F29">
        <f>AVERAGE(D25:D29)</f>
        <v>44.660000000000004</v>
      </c>
      <c r="G29">
        <f>F29-E29</f>
        <v>-4.439999999999998</v>
      </c>
      <c r="H29" s="1">
        <v>38279</v>
      </c>
    </row>
    <row r="30" spans="1:8" ht="12.75">
      <c r="A30" s="1">
        <v>38282</v>
      </c>
      <c r="B30" t="s">
        <v>296</v>
      </c>
      <c r="C30">
        <v>42</v>
      </c>
      <c r="D30">
        <v>51</v>
      </c>
      <c r="E30">
        <f>AVERAGE(C26:C30)</f>
        <v>47.9</v>
      </c>
      <c r="F30">
        <f>AVERAGE(D26:D30)</f>
        <v>45.660000000000004</v>
      </c>
      <c r="G30">
        <f>F30-E30</f>
        <v>-2.239999999999995</v>
      </c>
      <c r="H30" s="1">
        <v>38281</v>
      </c>
    </row>
    <row r="31" spans="1:8" ht="12.75">
      <c r="A31" s="1">
        <v>38283</v>
      </c>
      <c r="B31" t="s">
        <v>126</v>
      </c>
      <c r="C31">
        <v>45</v>
      </c>
      <c r="D31">
        <v>49</v>
      </c>
      <c r="E31">
        <f>AVERAGE(C27:C31)</f>
        <v>46.9</v>
      </c>
      <c r="F31">
        <f>AVERAGE(D27:D31)</f>
        <v>46.86</v>
      </c>
      <c r="G31">
        <f>F31-E31</f>
        <v>-0.03999999999999915</v>
      </c>
      <c r="H31" s="1">
        <v>38281</v>
      </c>
    </row>
    <row r="32" spans="1:8" ht="12.75">
      <c r="A32" s="1">
        <v>38288</v>
      </c>
      <c r="B32" t="s">
        <v>252</v>
      </c>
      <c r="C32">
        <v>47</v>
      </c>
      <c r="D32">
        <v>45</v>
      </c>
      <c r="E32">
        <f>AVERAGE(C28:C32)</f>
        <v>46.6</v>
      </c>
      <c r="F32">
        <f>AVERAGE(D28:D32)</f>
        <v>47</v>
      </c>
      <c r="G32">
        <f>F32-E32</f>
        <v>0.3999999999999986</v>
      </c>
      <c r="H32" s="1">
        <v>38283</v>
      </c>
    </row>
    <row r="33" spans="1:8" ht="12.75">
      <c r="A33" s="1">
        <v>38287</v>
      </c>
      <c r="B33" t="s">
        <v>0</v>
      </c>
      <c r="C33">
        <v>50</v>
      </c>
      <c r="D33">
        <v>44</v>
      </c>
      <c r="E33">
        <f>AVERAGE(C29:C33)</f>
        <v>47.4</v>
      </c>
      <c r="F33">
        <f>AVERAGE(D29:D33)</f>
        <v>46.2</v>
      </c>
      <c r="G33">
        <f>F33-E33</f>
        <v>-1.1999999999999957</v>
      </c>
      <c r="H33" s="1">
        <v>38285</v>
      </c>
    </row>
    <row r="34" spans="1:8" ht="12.75">
      <c r="A34" s="1">
        <v>38288</v>
      </c>
      <c r="B34" t="s">
        <v>208</v>
      </c>
      <c r="C34">
        <v>47</v>
      </c>
      <c r="D34">
        <v>48</v>
      </c>
      <c r="E34">
        <f>AVERAGE(C30:C34)</f>
        <v>46.2</v>
      </c>
      <c r="F34">
        <f>AVERAGE(D30:D34)</f>
        <v>47.4</v>
      </c>
      <c r="G34">
        <f>F34-E34</f>
        <v>1.1999999999999957</v>
      </c>
      <c r="H34" s="1">
        <v>38285</v>
      </c>
    </row>
    <row r="35" spans="1:8" ht="12.75">
      <c r="A35" s="1">
        <v>38290</v>
      </c>
      <c r="B35" t="s">
        <v>283</v>
      </c>
      <c r="C35">
        <v>45</v>
      </c>
      <c r="D35">
        <v>46</v>
      </c>
      <c r="E35">
        <f>AVERAGE(C31:C35)</f>
        <v>46.8</v>
      </c>
      <c r="F35">
        <f>AVERAGE(D31:D35)</f>
        <v>46.4</v>
      </c>
      <c r="G35">
        <f>F35-E35</f>
        <v>-0.3999999999999986</v>
      </c>
      <c r="H35" s="1">
        <v>38287</v>
      </c>
    </row>
    <row r="36" spans="1:8" ht="12.75">
      <c r="A36" s="1">
        <v>38290</v>
      </c>
      <c r="B36" t="s">
        <v>208</v>
      </c>
      <c r="C36">
        <v>47</v>
      </c>
      <c r="D36">
        <v>47</v>
      </c>
      <c r="E36">
        <f>AVERAGE(C32:C36)</f>
        <v>47.2</v>
      </c>
      <c r="F36">
        <f>AVERAGE(D32:D36)</f>
        <v>46</v>
      </c>
      <c r="G36">
        <f>F36-E36</f>
        <v>-1.2000000000000028</v>
      </c>
      <c r="H36" s="1">
        <v>38287</v>
      </c>
    </row>
    <row r="37" spans="1:8" ht="12.75">
      <c r="A37" s="1">
        <v>38290</v>
      </c>
      <c r="B37" t="s">
        <v>169</v>
      </c>
      <c r="C37">
        <v>49</v>
      </c>
      <c r="D37">
        <v>46</v>
      </c>
      <c r="E37">
        <f>AVERAGE(C33:C37)</f>
        <v>47.6</v>
      </c>
      <c r="F37">
        <f>AVERAGE(D33:D37)</f>
        <v>46.2</v>
      </c>
      <c r="G37">
        <f>F37-E37</f>
        <v>-1.3999999999999986</v>
      </c>
      <c r="H37" s="1">
        <v>38288</v>
      </c>
    </row>
    <row r="38" spans="1:8" ht="12.75">
      <c r="A38" s="1">
        <v>38291</v>
      </c>
      <c r="B38" t="s">
        <v>191</v>
      </c>
      <c r="C38">
        <v>47</v>
      </c>
      <c r="D38">
        <v>47</v>
      </c>
      <c r="E38">
        <f>AVERAGE(C34:C38)</f>
        <v>47</v>
      </c>
      <c r="F38">
        <f>AVERAGE(D34:D38)</f>
        <v>46.8</v>
      </c>
      <c r="G38">
        <f>F38-E38</f>
        <v>-0.20000000000000284</v>
      </c>
      <c r="H38" s="1">
        <v>38289</v>
      </c>
    </row>
    <row r="39" spans="1:8" ht="12.75">
      <c r="A39" s="1">
        <v>38292</v>
      </c>
      <c r="B39" t="s">
        <v>59</v>
      </c>
      <c r="C39">
        <v>48</v>
      </c>
      <c r="D39">
        <v>48</v>
      </c>
      <c r="E39">
        <f>AVERAGE(C35:C39)</f>
        <v>47.2</v>
      </c>
      <c r="F39">
        <f>AVERAGE(D35:D39)</f>
        <v>46.8</v>
      </c>
      <c r="G39">
        <f>F39-E39</f>
        <v>-0.4000000000000057</v>
      </c>
      <c r="H39" s="1">
        <v>38290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42"/>
  <sheetViews>
    <sheetView zoomScalePageLayoutView="0" workbookViewId="0" topLeftCell="A1">
      <selection activeCell="H43" sqref="H43"/>
    </sheetView>
  </sheetViews>
  <sheetFormatPr defaultColWidth="11.00390625" defaultRowHeight="12.75"/>
  <sheetData>
    <row r="3" spans="3:7" ht="12.75">
      <c r="C3" s="3" t="s">
        <v>124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9" ht="12.75">
      <c r="A5" s="1">
        <v>37940</v>
      </c>
      <c r="B5" t="s">
        <v>126</v>
      </c>
      <c r="C5">
        <v>42</v>
      </c>
      <c r="D5">
        <v>50</v>
      </c>
      <c r="E5">
        <f aca="true" t="shared" si="0" ref="E5:E42">AVERAGE(C1:C5)</f>
        <v>42</v>
      </c>
      <c r="F5">
        <f aca="true" t="shared" si="1" ref="F5:F42">AVERAGE(D1:D5)</f>
        <v>50</v>
      </c>
      <c r="G5">
        <f aca="true" t="shared" si="2" ref="G5:G42">F5-E5</f>
        <v>8</v>
      </c>
      <c r="H5" s="1">
        <v>37940</v>
      </c>
      <c r="I5">
        <f aca="true" t="shared" si="3" ref="I5:I42">D5-C5</f>
        <v>8</v>
      </c>
    </row>
    <row r="6" spans="1:9" ht="12.75">
      <c r="A6" s="1">
        <v>37972</v>
      </c>
      <c r="B6" t="s">
        <v>126</v>
      </c>
      <c r="C6">
        <v>39</v>
      </c>
      <c r="D6">
        <v>51</v>
      </c>
      <c r="E6">
        <f t="shared" si="0"/>
        <v>40.5</v>
      </c>
      <c r="F6">
        <f t="shared" si="1"/>
        <v>50.5</v>
      </c>
      <c r="G6">
        <f t="shared" si="2"/>
        <v>10</v>
      </c>
      <c r="H6" s="1">
        <v>37972</v>
      </c>
      <c r="I6">
        <f t="shared" si="3"/>
        <v>12</v>
      </c>
    </row>
    <row r="7" spans="1:9" ht="12.75">
      <c r="A7" s="1">
        <v>38058</v>
      </c>
      <c r="B7" t="s">
        <v>126</v>
      </c>
      <c r="C7">
        <v>38</v>
      </c>
      <c r="D7">
        <v>55</v>
      </c>
      <c r="E7">
        <f t="shared" si="0"/>
        <v>39.666666666666664</v>
      </c>
      <c r="F7">
        <f t="shared" si="1"/>
        <v>52</v>
      </c>
      <c r="G7">
        <f t="shared" si="2"/>
        <v>12.333333333333336</v>
      </c>
      <c r="H7" s="1">
        <v>37991</v>
      </c>
      <c r="I7">
        <f t="shared" si="3"/>
        <v>17</v>
      </c>
    </row>
    <row r="8" spans="1:9" ht="12.75">
      <c r="A8" s="1">
        <v>38037</v>
      </c>
      <c r="B8" t="s">
        <v>126</v>
      </c>
      <c r="C8">
        <v>41</v>
      </c>
      <c r="D8">
        <v>51</v>
      </c>
      <c r="E8">
        <f t="shared" si="0"/>
        <v>40</v>
      </c>
      <c r="F8">
        <f t="shared" si="1"/>
        <v>51.75</v>
      </c>
      <c r="G8">
        <f t="shared" si="2"/>
        <v>11.75</v>
      </c>
      <c r="H8" s="1">
        <v>38033</v>
      </c>
      <c r="I8">
        <f t="shared" si="3"/>
        <v>10</v>
      </c>
    </row>
    <row r="9" spans="1:9" ht="12.75">
      <c r="A9" s="1">
        <v>38058</v>
      </c>
      <c r="B9" t="s">
        <v>169</v>
      </c>
      <c r="C9">
        <v>41</v>
      </c>
      <c r="D9">
        <v>44</v>
      </c>
      <c r="E9">
        <f t="shared" si="0"/>
        <v>40.2</v>
      </c>
      <c r="F9">
        <f t="shared" si="1"/>
        <v>50.2</v>
      </c>
      <c r="G9">
        <f t="shared" si="2"/>
        <v>10</v>
      </c>
      <c r="H9" s="1">
        <v>38034</v>
      </c>
      <c r="I9">
        <f t="shared" si="3"/>
        <v>3</v>
      </c>
    </row>
    <row r="10" spans="1:9" ht="12.75">
      <c r="A10" s="1">
        <v>38058</v>
      </c>
      <c r="B10" t="s">
        <v>99</v>
      </c>
      <c r="C10">
        <v>36</v>
      </c>
      <c r="D10">
        <v>53</v>
      </c>
      <c r="E10">
        <f t="shared" si="0"/>
        <v>39</v>
      </c>
      <c r="F10">
        <f t="shared" si="1"/>
        <v>50.8</v>
      </c>
      <c r="G10">
        <f t="shared" si="2"/>
        <v>11.799999999999997</v>
      </c>
      <c r="H10" s="1">
        <v>38036</v>
      </c>
      <c r="I10">
        <f t="shared" si="3"/>
        <v>17</v>
      </c>
    </row>
    <row r="11" spans="1:9" ht="12.75">
      <c r="A11" s="1">
        <v>38051</v>
      </c>
      <c r="B11" t="s">
        <v>126</v>
      </c>
      <c r="C11">
        <v>41</v>
      </c>
      <c r="D11">
        <v>50</v>
      </c>
      <c r="E11">
        <f t="shared" si="0"/>
        <v>39.4</v>
      </c>
      <c r="F11">
        <f t="shared" si="1"/>
        <v>50.6</v>
      </c>
      <c r="G11">
        <f t="shared" si="2"/>
        <v>11.200000000000003</v>
      </c>
      <c r="H11" s="1">
        <v>38044</v>
      </c>
      <c r="I11">
        <f t="shared" si="3"/>
        <v>9</v>
      </c>
    </row>
    <row r="12" spans="1:9" ht="12.75">
      <c r="A12" s="1">
        <v>38067</v>
      </c>
      <c r="B12" t="s">
        <v>126</v>
      </c>
      <c r="C12">
        <v>44</v>
      </c>
      <c r="D12">
        <v>50</v>
      </c>
      <c r="E12">
        <f t="shared" si="0"/>
        <v>40.6</v>
      </c>
      <c r="F12">
        <f t="shared" si="1"/>
        <v>49.6</v>
      </c>
      <c r="G12">
        <f t="shared" si="2"/>
        <v>9</v>
      </c>
      <c r="H12" s="1">
        <v>38061</v>
      </c>
      <c r="I12">
        <f t="shared" si="3"/>
        <v>6</v>
      </c>
    </row>
    <row r="13" spans="1:9" ht="12.75">
      <c r="A13" s="1">
        <v>38083</v>
      </c>
      <c r="B13" t="s">
        <v>169</v>
      </c>
      <c r="C13">
        <v>42</v>
      </c>
      <c r="D13">
        <v>46</v>
      </c>
      <c r="E13">
        <f t="shared" si="0"/>
        <v>40.8</v>
      </c>
      <c r="F13">
        <f t="shared" si="1"/>
        <v>48.6</v>
      </c>
      <c r="G13">
        <f t="shared" si="2"/>
        <v>7.800000000000004</v>
      </c>
      <c r="H13" s="1">
        <v>38076</v>
      </c>
      <c r="I13">
        <f t="shared" si="3"/>
        <v>4</v>
      </c>
    </row>
    <row r="14" spans="1:9" ht="12.75">
      <c r="A14" s="1">
        <v>38094</v>
      </c>
      <c r="B14" t="s">
        <v>126</v>
      </c>
      <c r="C14">
        <v>42</v>
      </c>
      <c r="D14">
        <v>49</v>
      </c>
      <c r="E14">
        <f t="shared" si="0"/>
        <v>41</v>
      </c>
      <c r="F14">
        <f t="shared" si="1"/>
        <v>49.6</v>
      </c>
      <c r="G14">
        <f t="shared" si="2"/>
        <v>8.600000000000001</v>
      </c>
      <c r="H14" s="1">
        <v>38089</v>
      </c>
      <c r="I14">
        <f t="shared" si="3"/>
        <v>7</v>
      </c>
    </row>
    <row r="15" spans="1:9" ht="12.75">
      <c r="A15" s="1">
        <v>38104</v>
      </c>
      <c r="B15" t="s">
        <v>58</v>
      </c>
      <c r="C15">
        <v>41</v>
      </c>
      <c r="D15">
        <v>49</v>
      </c>
      <c r="E15">
        <f t="shared" si="0"/>
        <v>42</v>
      </c>
      <c r="F15">
        <f t="shared" si="1"/>
        <v>48.8</v>
      </c>
      <c r="G15">
        <f t="shared" si="2"/>
        <v>6.799999999999997</v>
      </c>
      <c r="H15" s="1">
        <v>38099</v>
      </c>
      <c r="I15">
        <f t="shared" si="3"/>
        <v>8</v>
      </c>
    </row>
    <row r="16" spans="1:9" ht="12.75">
      <c r="A16" s="1">
        <v>38122</v>
      </c>
      <c r="B16" t="s">
        <v>169</v>
      </c>
      <c r="C16">
        <v>42</v>
      </c>
      <c r="D16">
        <v>44</v>
      </c>
      <c r="E16">
        <f t="shared" si="0"/>
        <v>42.2</v>
      </c>
      <c r="F16">
        <f t="shared" si="1"/>
        <v>47.6</v>
      </c>
      <c r="G16">
        <f t="shared" si="2"/>
        <v>5.399999999999999</v>
      </c>
      <c r="H16" s="1">
        <v>38119</v>
      </c>
      <c r="I16">
        <f t="shared" si="3"/>
        <v>2</v>
      </c>
    </row>
    <row r="17" spans="1:9" ht="12.75">
      <c r="A17" s="1">
        <v>38134</v>
      </c>
      <c r="B17" t="s">
        <v>126</v>
      </c>
      <c r="C17">
        <v>38</v>
      </c>
      <c r="D17">
        <v>47</v>
      </c>
      <c r="E17">
        <f t="shared" si="0"/>
        <v>41</v>
      </c>
      <c r="F17">
        <f t="shared" si="1"/>
        <v>47</v>
      </c>
      <c r="G17">
        <f t="shared" si="2"/>
        <v>6</v>
      </c>
      <c r="H17" s="1">
        <v>38128</v>
      </c>
      <c r="I17">
        <f t="shared" si="3"/>
        <v>9</v>
      </c>
    </row>
    <row r="18" spans="1:9" ht="12.75">
      <c r="A18" s="1">
        <v>38150</v>
      </c>
      <c r="B18" t="s">
        <v>169</v>
      </c>
      <c r="C18">
        <v>38</v>
      </c>
      <c r="D18">
        <v>45</v>
      </c>
      <c r="E18">
        <f t="shared" si="0"/>
        <v>40.2</v>
      </c>
      <c r="F18">
        <f t="shared" si="1"/>
        <v>46.8</v>
      </c>
      <c r="G18">
        <f t="shared" si="2"/>
        <v>6.599999999999994</v>
      </c>
      <c r="H18" s="1">
        <v>38147</v>
      </c>
      <c r="I18">
        <f t="shared" si="3"/>
        <v>7</v>
      </c>
    </row>
    <row r="19" spans="1:9" ht="12.75">
      <c r="A19" s="1">
        <v>38158</v>
      </c>
      <c r="B19" t="s">
        <v>126</v>
      </c>
      <c r="C19">
        <v>45</v>
      </c>
      <c r="D19">
        <v>49</v>
      </c>
      <c r="E19">
        <f t="shared" si="0"/>
        <v>40.8</v>
      </c>
      <c r="F19">
        <f t="shared" si="1"/>
        <v>46.8</v>
      </c>
      <c r="G19">
        <f t="shared" si="2"/>
        <v>6</v>
      </c>
      <c r="H19" s="1">
        <v>38157</v>
      </c>
      <c r="I19">
        <f t="shared" si="3"/>
        <v>4</v>
      </c>
    </row>
    <row r="20" spans="1:9" ht="12.75">
      <c r="A20" s="1">
        <v>38176</v>
      </c>
      <c r="B20" t="s">
        <v>239</v>
      </c>
      <c r="C20">
        <v>38</v>
      </c>
      <c r="D20">
        <v>42</v>
      </c>
      <c r="E20">
        <f t="shared" si="0"/>
        <v>40.2</v>
      </c>
      <c r="F20">
        <f t="shared" si="1"/>
        <v>45.4</v>
      </c>
      <c r="G20">
        <f t="shared" si="2"/>
        <v>5.199999999999996</v>
      </c>
      <c r="H20" s="1">
        <v>38167</v>
      </c>
      <c r="I20">
        <f t="shared" si="3"/>
        <v>4</v>
      </c>
    </row>
    <row r="21" spans="1:9" ht="12.75">
      <c r="A21" s="1">
        <v>38182</v>
      </c>
      <c r="B21" t="s">
        <v>169</v>
      </c>
      <c r="C21">
        <v>38</v>
      </c>
      <c r="D21">
        <v>48</v>
      </c>
      <c r="E21">
        <f t="shared" si="0"/>
        <v>39.4</v>
      </c>
      <c r="F21">
        <f t="shared" si="1"/>
        <v>46.2</v>
      </c>
      <c r="G21">
        <f t="shared" si="2"/>
        <v>6.800000000000004</v>
      </c>
      <c r="H21" s="1">
        <v>38177</v>
      </c>
      <c r="I21">
        <f t="shared" si="3"/>
        <v>10</v>
      </c>
    </row>
    <row r="22" spans="1:9" ht="12.75">
      <c r="A22" s="1">
        <v>38210</v>
      </c>
      <c r="B22" t="s">
        <v>169</v>
      </c>
      <c r="C22">
        <v>44</v>
      </c>
      <c r="D22">
        <v>49</v>
      </c>
      <c r="E22">
        <f t="shared" si="0"/>
        <v>40.6</v>
      </c>
      <c r="F22">
        <f t="shared" si="1"/>
        <v>46.6</v>
      </c>
      <c r="G22">
        <f t="shared" si="2"/>
        <v>6</v>
      </c>
      <c r="H22" s="1">
        <v>38205</v>
      </c>
      <c r="I22">
        <f t="shared" si="3"/>
        <v>5</v>
      </c>
    </row>
    <row r="23" spans="1:9" ht="12.75">
      <c r="A23" s="1">
        <v>38218</v>
      </c>
      <c r="B23" t="s">
        <v>45</v>
      </c>
      <c r="C23">
        <v>43</v>
      </c>
      <c r="D23">
        <v>50</v>
      </c>
      <c r="E23">
        <f t="shared" si="0"/>
        <v>41.6</v>
      </c>
      <c r="F23">
        <f t="shared" si="1"/>
        <v>47.6</v>
      </c>
      <c r="G23">
        <f t="shared" si="2"/>
        <v>6</v>
      </c>
      <c r="H23" s="1">
        <v>38211</v>
      </c>
      <c r="I23">
        <f t="shared" si="3"/>
        <v>7</v>
      </c>
    </row>
    <row r="24" spans="1:9" ht="12.75">
      <c r="A24" s="1">
        <v>38233</v>
      </c>
      <c r="B24" t="s">
        <v>68</v>
      </c>
      <c r="C24">
        <v>38</v>
      </c>
      <c r="D24">
        <v>51</v>
      </c>
      <c r="E24">
        <f t="shared" si="0"/>
        <v>40.2</v>
      </c>
      <c r="F24">
        <f t="shared" si="1"/>
        <v>48</v>
      </c>
      <c r="G24">
        <f t="shared" si="2"/>
        <v>7.799999999999997</v>
      </c>
      <c r="H24" s="1">
        <v>38231</v>
      </c>
      <c r="I24">
        <f t="shared" si="3"/>
        <v>13</v>
      </c>
    </row>
    <row r="25" spans="1:9" ht="12.75">
      <c r="A25" s="1">
        <v>38244</v>
      </c>
      <c r="B25" t="s">
        <v>200</v>
      </c>
      <c r="C25">
        <v>40</v>
      </c>
      <c r="D25">
        <v>52</v>
      </c>
      <c r="E25">
        <f t="shared" si="0"/>
        <v>40.6</v>
      </c>
      <c r="F25">
        <f t="shared" si="1"/>
        <v>50</v>
      </c>
      <c r="G25">
        <f t="shared" si="2"/>
        <v>9.399999999999999</v>
      </c>
      <c r="H25" s="1">
        <v>38239</v>
      </c>
      <c r="I25">
        <f t="shared" si="3"/>
        <v>12</v>
      </c>
    </row>
    <row r="26" spans="1:9" ht="12.75">
      <c r="A26" s="1">
        <v>38248</v>
      </c>
      <c r="B26" t="s">
        <v>26</v>
      </c>
      <c r="C26">
        <v>45</v>
      </c>
      <c r="D26">
        <v>45</v>
      </c>
      <c r="E26">
        <f t="shared" si="0"/>
        <v>42</v>
      </c>
      <c r="F26">
        <f t="shared" si="1"/>
        <v>49.4</v>
      </c>
      <c r="G26">
        <f t="shared" si="2"/>
        <v>7.399999999999999</v>
      </c>
      <c r="H26" s="1">
        <v>38246</v>
      </c>
      <c r="I26">
        <f t="shared" si="3"/>
        <v>0</v>
      </c>
    </row>
    <row r="27" spans="1:9" ht="12.75">
      <c r="A27" s="1">
        <v>38251</v>
      </c>
      <c r="B27" t="s">
        <v>58</v>
      </c>
      <c r="C27">
        <v>39</v>
      </c>
      <c r="D27">
        <v>53</v>
      </c>
      <c r="E27">
        <f t="shared" si="0"/>
        <v>41</v>
      </c>
      <c r="F27">
        <f t="shared" si="1"/>
        <v>50.2</v>
      </c>
      <c r="G27">
        <f t="shared" si="2"/>
        <v>9.200000000000003</v>
      </c>
      <c r="H27" s="1">
        <v>38246</v>
      </c>
      <c r="I27">
        <f t="shared" si="3"/>
        <v>14</v>
      </c>
    </row>
    <row r="28" spans="1:9" ht="12.75">
      <c r="A28" s="1">
        <v>38253</v>
      </c>
      <c r="B28" t="s">
        <v>172</v>
      </c>
      <c r="C28">
        <v>39</v>
      </c>
      <c r="D28">
        <v>53</v>
      </c>
      <c r="E28">
        <f t="shared" si="0"/>
        <v>40.2</v>
      </c>
      <c r="F28">
        <f t="shared" si="1"/>
        <v>50.8</v>
      </c>
      <c r="G28">
        <f t="shared" si="2"/>
        <v>10.599999999999994</v>
      </c>
      <c r="H28" s="1">
        <v>38246</v>
      </c>
      <c r="I28">
        <f t="shared" si="3"/>
        <v>14</v>
      </c>
    </row>
    <row r="29" spans="1:9" ht="12.75">
      <c r="A29" s="1">
        <v>38249</v>
      </c>
      <c r="B29" t="s">
        <v>126</v>
      </c>
      <c r="C29">
        <v>43</v>
      </c>
      <c r="D29">
        <v>54</v>
      </c>
      <c r="E29">
        <f t="shared" si="0"/>
        <v>41.2</v>
      </c>
      <c r="F29">
        <f t="shared" si="1"/>
        <v>51.4</v>
      </c>
      <c r="G29">
        <f t="shared" si="2"/>
        <v>10.199999999999996</v>
      </c>
      <c r="H29" s="1">
        <v>38247</v>
      </c>
      <c r="I29">
        <f t="shared" si="3"/>
        <v>11</v>
      </c>
    </row>
    <row r="30" spans="1:9" ht="12.75">
      <c r="A30" s="1">
        <v>38251</v>
      </c>
      <c r="B30" t="s">
        <v>59</v>
      </c>
      <c r="C30">
        <v>44</v>
      </c>
      <c r="D30">
        <v>51</v>
      </c>
      <c r="E30">
        <f t="shared" si="0"/>
        <v>42</v>
      </c>
      <c r="F30">
        <f t="shared" si="1"/>
        <v>51.2</v>
      </c>
      <c r="G30">
        <f t="shared" si="2"/>
        <v>9.200000000000003</v>
      </c>
      <c r="H30" s="1">
        <v>38249</v>
      </c>
      <c r="I30">
        <f t="shared" si="3"/>
        <v>7</v>
      </c>
    </row>
    <row r="31" spans="1:9" ht="12.75">
      <c r="A31" s="1">
        <v>38254</v>
      </c>
      <c r="B31" t="s">
        <v>57</v>
      </c>
      <c r="C31">
        <v>41</v>
      </c>
      <c r="D31">
        <v>51</v>
      </c>
      <c r="E31">
        <f t="shared" si="0"/>
        <v>41.2</v>
      </c>
      <c r="F31">
        <f t="shared" si="1"/>
        <v>52.4</v>
      </c>
      <c r="G31">
        <f t="shared" si="2"/>
        <v>11.199999999999996</v>
      </c>
      <c r="H31" s="1">
        <v>38250</v>
      </c>
      <c r="I31">
        <f t="shared" si="3"/>
        <v>10</v>
      </c>
    </row>
    <row r="32" spans="1:9" ht="12.75">
      <c r="A32" s="1">
        <v>38256</v>
      </c>
      <c r="B32" t="s">
        <v>169</v>
      </c>
      <c r="C32">
        <v>43</v>
      </c>
      <c r="D32">
        <v>51</v>
      </c>
      <c r="E32">
        <f t="shared" si="0"/>
        <v>42</v>
      </c>
      <c r="F32">
        <f t="shared" si="1"/>
        <v>52</v>
      </c>
      <c r="G32">
        <f t="shared" si="2"/>
        <v>10</v>
      </c>
      <c r="H32" s="1">
        <v>38254</v>
      </c>
      <c r="I32">
        <f t="shared" si="3"/>
        <v>8</v>
      </c>
    </row>
    <row r="33" spans="1:9" ht="12.75">
      <c r="A33" s="1">
        <v>38262</v>
      </c>
      <c r="B33" t="s">
        <v>58</v>
      </c>
      <c r="C33">
        <v>39</v>
      </c>
      <c r="D33">
        <v>55</v>
      </c>
      <c r="E33">
        <f t="shared" si="0"/>
        <v>42</v>
      </c>
      <c r="F33">
        <f t="shared" si="1"/>
        <v>52.4</v>
      </c>
      <c r="G33">
        <f t="shared" si="2"/>
        <v>10.399999999999999</v>
      </c>
      <c r="H33" s="1">
        <v>38259</v>
      </c>
      <c r="I33">
        <f t="shared" si="3"/>
        <v>16</v>
      </c>
    </row>
    <row r="34" spans="1:9" ht="12.75">
      <c r="A34" s="1">
        <v>38270</v>
      </c>
      <c r="B34" t="s">
        <v>126</v>
      </c>
      <c r="C34">
        <v>41</v>
      </c>
      <c r="D34">
        <v>54</v>
      </c>
      <c r="E34">
        <f t="shared" si="0"/>
        <v>41.6</v>
      </c>
      <c r="F34">
        <f t="shared" si="1"/>
        <v>52.4</v>
      </c>
      <c r="G34">
        <f t="shared" si="2"/>
        <v>10.799999999999997</v>
      </c>
      <c r="H34" s="1">
        <v>38268</v>
      </c>
      <c r="I34">
        <f t="shared" si="3"/>
        <v>13</v>
      </c>
    </row>
    <row r="35" spans="1:9" ht="12.75">
      <c r="A35" s="1">
        <v>38282</v>
      </c>
      <c r="B35" t="s">
        <v>296</v>
      </c>
      <c r="C35">
        <v>39</v>
      </c>
      <c r="D35">
        <v>52</v>
      </c>
      <c r="E35">
        <f t="shared" si="0"/>
        <v>40.6</v>
      </c>
      <c r="F35">
        <f t="shared" si="1"/>
        <v>52.6</v>
      </c>
      <c r="G35">
        <f t="shared" si="2"/>
        <v>12</v>
      </c>
      <c r="H35" s="1">
        <v>38281</v>
      </c>
      <c r="I35">
        <f t="shared" si="3"/>
        <v>13</v>
      </c>
    </row>
    <row r="36" spans="1:9" ht="12.75">
      <c r="A36" s="1">
        <v>38285</v>
      </c>
      <c r="B36" t="s">
        <v>58</v>
      </c>
      <c r="C36">
        <v>39</v>
      </c>
      <c r="D36">
        <v>54</v>
      </c>
      <c r="E36">
        <f t="shared" si="0"/>
        <v>40.2</v>
      </c>
      <c r="F36">
        <f t="shared" si="1"/>
        <v>53.2</v>
      </c>
      <c r="G36">
        <f t="shared" si="2"/>
        <v>13</v>
      </c>
      <c r="H36" s="1">
        <v>38281</v>
      </c>
      <c r="I36">
        <f t="shared" si="3"/>
        <v>15</v>
      </c>
    </row>
    <row r="37" spans="1:9" ht="12.75">
      <c r="A37" s="1">
        <v>38284</v>
      </c>
      <c r="B37" t="s">
        <v>169</v>
      </c>
      <c r="C37">
        <v>44</v>
      </c>
      <c r="D37">
        <v>52</v>
      </c>
      <c r="E37">
        <f t="shared" si="0"/>
        <v>40.4</v>
      </c>
      <c r="F37">
        <f t="shared" si="1"/>
        <v>53.4</v>
      </c>
      <c r="G37">
        <f t="shared" si="2"/>
        <v>13</v>
      </c>
      <c r="H37" s="1">
        <v>38282</v>
      </c>
      <c r="I37">
        <f t="shared" si="3"/>
        <v>8</v>
      </c>
    </row>
    <row r="38" spans="1:9" ht="12.75">
      <c r="A38" s="1">
        <v>38285</v>
      </c>
      <c r="B38" t="s">
        <v>89</v>
      </c>
      <c r="C38">
        <v>40</v>
      </c>
      <c r="D38">
        <v>51</v>
      </c>
      <c r="E38">
        <f t="shared" si="0"/>
        <v>40.6</v>
      </c>
      <c r="F38">
        <f t="shared" si="1"/>
        <v>52.6</v>
      </c>
      <c r="G38">
        <f t="shared" si="2"/>
        <v>12</v>
      </c>
      <c r="H38" s="1">
        <v>38282</v>
      </c>
      <c r="I38">
        <f t="shared" si="3"/>
        <v>11</v>
      </c>
    </row>
    <row r="39" spans="1:9" ht="12.75">
      <c r="A39" s="1">
        <v>38287</v>
      </c>
      <c r="B39" t="s">
        <v>57</v>
      </c>
      <c r="C39">
        <v>42</v>
      </c>
      <c r="D39">
        <v>52</v>
      </c>
      <c r="E39">
        <f t="shared" si="0"/>
        <v>40.8</v>
      </c>
      <c r="F39">
        <f t="shared" si="1"/>
        <v>52.2</v>
      </c>
      <c r="G39">
        <f t="shared" si="2"/>
        <v>11.400000000000006</v>
      </c>
      <c r="H39" s="1">
        <v>38282</v>
      </c>
      <c r="I39">
        <f t="shared" si="3"/>
        <v>10</v>
      </c>
    </row>
    <row r="40" spans="1:9" ht="12.75">
      <c r="A40" s="1">
        <v>38290</v>
      </c>
      <c r="B40" t="s">
        <v>126</v>
      </c>
      <c r="C40">
        <v>40</v>
      </c>
      <c r="D40">
        <v>55</v>
      </c>
      <c r="E40">
        <f t="shared" si="0"/>
        <v>41</v>
      </c>
      <c r="F40">
        <f t="shared" si="1"/>
        <v>52.8</v>
      </c>
      <c r="G40">
        <f t="shared" si="2"/>
        <v>11.799999999999997</v>
      </c>
      <c r="H40" s="1">
        <v>38288</v>
      </c>
      <c r="I40">
        <f t="shared" si="3"/>
        <v>15</v>
      </c>
    </row>
    <row r="41" spans="1:9" ht="12.75">
      <c r="A41" s="1">
        <v>38291</v>
      </c>
      <c r="B41" t="s">
        <v>58</v>
      </c>
      <c r="C41">
        <v>39</v>
      </c>
      <c r="D41">
        <v>53</v>
      </c>
      <c r="E41">
        <f t="shared" si="0"/>
        <v>41</v>
      </c>
      <c r="F41">
        <f t="shared" si="1"/>
        <v>52.6</v>
      </c>
      <c r="G41">
        <f t="shared" si="2"/>
        <v>11.600000000000001</v>
      </c>
      <c r="H41" s="1">
        <v>38288</v>
      </c>
      <c r="I41">
        <f t="shared" si="3"/>
        <v>14</v>
      </c>
    </row>
    <row r="42" spans="1:9" ht="12.75">
      <c r="A42" s="1">
        <v>38292</v>
      </c>
      <c r="B42" t="s">
        <v>12</v>
      </c>
      <c r="C42">
        <v>37</v>
      </c>
      <c r="D42">
        <v>54</v>
      </c>
      <c r="E42">
        <f t="shared" si="0"/>
        <v>39.6</v>
      </c>
      <c r="F42">
        <f t="shared" si="1"/>
        <v>53</v>
      </c>
      <c r="G42">
        <f t="shared" si="2"/>
        <v>13.399999999999999</v>
      </c>
      <c r="H42" s="1">
        <v>38290</v>
      </c>
      <c r="I42">
        <f t="shared" si="3"/>
        <v>17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1">
      <selection activeCell="C24" sqref="C24"/>
    </sheetView>
  </sheetViews>
  <sheetFormatPr defaultColWidth="11.00390625" defaultRowHeight="12.75"/>
  <sheetData>
    <row r="3" spans="3:7" ht="12.75">
      <c r="C3" s="3" t="s">
        <v>151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37950</v>
      </c>
      <c r="B5" t="s">
        <v>126</v>
      </c>
      <c r="C5">
        <v>53</v>
      </c>
      <c r="D5">
        <v>37</v>
      </c>
      <c r="E5">
        <f aca="true" t="shared" si="0" ref="E5:E28">AVERAGE(C1:C5)</f>
        <v>53</v>
      </c>
      <c r="F5">
        <f aca="true" t="shared" si="1" ref="F5:F28">AVERAGE(D1:D5)</f>
        <v>37</v>
      </c>
      <c r="G5">
        <f aca="true" t="shared" si="2" ref="G5:G28">F5-E5</f>
        <v>-16</v>
      </c>
      <c r="H5" s="1">
        <v>37935</v>
      </c>
    </row>
    <row r="6" spans="1:8" ht="12.75">
      <c r="A6" s="1">
        <v>37974</v>
      </c>
      <c r="B6" t="s">
        <v>126</v>
      </c>
      <c r="C6">
        <v>56</v>
      </c>
      <c r="D6">
        <v>36</v>
      </c>
      <c r="E6">
        <f t="shared" si="0"/>
        <v>54.5</v>
      </c>
      <c r="F6">
        <f t="shared" si="1"/>
        <v>36.5</v>
      </c>
      <c r="G6">
        <f t="shared" si="2"/>
        <v>-18</v>
      </c>
      <c r="H6" s="1">
        <v>37969</v>
      </c>
    </row>
    <row r="7" spans="1:8" ht="12.75">
      <c r="A7" s="1">
        <v>38120</v>
      </c>
      <c r="B7" t="s">
        <v>126</v>
      </c>
      <c r="C7">
        <v>53</v>
      </c>
      <c r="D7">
        <v>39</v>
      </c>
      <c r="E7">
        <f t="shared" si="0"/>
        <v>54</v>
      </c>
      <c r="F7">
        <f t="shared" si="1"/>
        <v>37.333333333333336</v>
      </c>
      <c r="G7">
        <f t="shared" si="2"/>
        <v>-16.666666666666664</v>
      </c>
      <c r="H7" s="1">
        <v>38002</v>
      </c>
    </row>
    <row r="8" spans="1:8" ht="12.75">
      <c r="A8" s="1">
        <v>38120</v>
      </c>
      <c r="B8" t="s">
        <v>126</v>
      </c>
      <c r="C8">
        <v>50</v>
      </c>
      <c r="D8">
        <v>44</v>
      </c>
      <c r="E8">
        <f t="shared" si="0"/>
        <v>53</v>
      </c>
      <c r="F8">
        <f t="shared" si="1"/>
        <v>39</v>
      </c>
      <c r="G8">
        <f t="shared" si="2"/>
        <v>-14</v>
      </c>
      <c r="H8" s="1">
        <v>38033</v>
      </c>
    </row>
    <row r="9" spans="1:8" ht="12.75">
      <c r="A9" s="1">
        <v>38051</v>
      </c>
      <c r="B9" t="s">
        <v>126</v>
      </c>
      <c r="C9">
        <v>50</v>
      </c>
      <c r="D9">
        <v>41</v>
      </c>
      <c r="E9">
        <f t="shared" si="0"/>
        <v>52.4</v>
      </c>
      <c r="F9">
        <f t="shared" si="1"/>
        <v>39.4</v>
      </c>
      <c r="G9">
        <f t="shared" si="2"/>
        <v>-13</v>
      </c>
      <c r="H9" s="1">
        <v>38042</v>
      </c>
    </row>
    <row r="10" spans="1:8" ht="12.75">
      <c r="A10" s="1">
        <v>38120</v>
      </c>
      <c r="B10" t="s">
        <v>126</v>
      </c>
      <c r="C10">
        <v>51</v>
      </c>
      <c r="D10">
        <v>39</v>
      </c>
      <c r="E10">
        <f t="shared" si="0"/>
        <v>52</v>
      </c>
      <c r="F10">
        <f t="shared" si="1"/>
        <v>39.8</v>
      </c>
      <c r="G10">
        <f t="shared" si="2"/>
        <v>-12.200000000000003</v>
      </c>
      <c r="H10" s="1">
        <v>38061</v>
      </c>
    </row>
    <row r="11" spans="1:8" ht="12.75">
      <c r="A11" s="1">
        <v>38094</v>
      </c>
      <c r="B11" t="s">
        <v>126</v>
      </c>
      <c r="C11">
        <v>54</v>
      </c>
      <c r="D11">
        <v>37</v>
      </c>
      <c r="E11">
        <f t="shared" si="0"/>
        <v>51.6</v>
      </c>
      <c r="F11">
        <f t="shared" si="1"/>
        <v>40</v>
      </c>
      <c r="G11">
        <f t="shared" si="2"/>
        <v>-11.600000000000001</v>
      </c>
      <c r="H11" s="1">
        <v>38089</v>
      </c>
    </row>
    <row r="12" spans="1:8" ht="12.75">
      <c r="A12" s="1">
        <v>38122</v>
      </c>
      <c r="B12" t="s">
        <v>169</v>
      </c>
      <c r="C12">
        <v>55</v>
      </c>
      <c r="D12">
        <v>34</v>
      </c>
      <c r="E12">
        <f t="shared" si="0"/>
        <v>52</v>
      </c>
      <c r="F12">
        <f t="shared" si="1"/>
        <v>39</v>
      </c>
      <c r="G12">
        <f t="shared" si="2"/>
        <v>-13</v>
      </c>
      <c r="H12" s="1">
        <v>38121</v>
      </c>
    </row>
    <row r="13" spans="1:8" ht="12.75">
      <c r="A13" s="1">
        <v>38136</v>
      </c>
      <c r="B13" t="s">
        <v>126</v>
      </c>
      <c r="C13">
        <v>49</v>
      </c>
      <c r="D13">
        <v>39</v>
      </c>
      <c r="E13">
        <f t="shared" si="0"/>
        <v>51.8</v>
      </c>
      <c r="F13">
        <f t="shared" si="1"/>
        <v>38</v>
      </c>
      <c r="G13">
        <f t="shared" si="2"/>
        <v>-13.799999999999997</v>
      </c>
      <c r="H13" s="1">
        <v>38135</v>
      </c>
    </row>
    <row r="14" spans="1:8" ht="12.75">
      <c r="A14" s="1">
        <v>38144</v>
      </c>
      <c r="B14" t="s">
        <v>58</v>
      </c>
      <c r="C14">
        <v>51</v>
      </c>
      <c r="D14">
        <v>40</v>
      </c>
      <c r="E14">
        <f t="shared" si="0"/>
        <v>52</v>
      </c>
      <c r="F14">
        <f t="shared" si="1"/>
        <v>37.8</v>
      </c>
      <c r="G14">
        <f t="shared" si="2"/>
        <v>-14.200000000000003</v>
      </c>
      <c r="H14" s="1">
        <v>38143</v>
      </c>
    </row>
    <row r="15" spans="1:8" ht="12.75">
      <c r="A15" s="1">
        <v>38151</v>
      </c>
      <c r="B15" t="s">
        <v>77</v>
      </c>
      <c r="C15">
        <v>45</v>
      </c>
      <c r="D15">
        <v>41</v>
      </c>
      <c r="E15">
        <f t="shared" si="0"/>
        <v>50.8</v>
      </c>
      <c r="F15">
        <f t="shared" si="1"/>
        <v>38.2</v>
      </c>
      <c r="G15">
        <f t="shared" si="2"/>
        <v>-12.599999999999994</v>
      </c>
      <c r="H15" s="1">
        <v>38145</v>
      </c>
    </row>
    <row r="16" spans="1:8" ht="12.75">
      <c r="A16" s="1">
        <v>38153</v>
      </c>
      <c r="B16" t="s">
        <v>169</v>
      </c>
      <c r="C16">
        <v>47</v>
      </c>
      <c r="D16">
        <v>37</v>
      </c>
      <c r="E16">
        <f t="shared" si="0"/>
        <v>49.4</v>
      </c>
      <c r="F16">
        <f t="shared" si="1"/>
        <v>38.2</v>
      </c>
      <c r="G16">
        <f t="shared" si="2"/>
        <v>-11.199999999999996</v>
      </c>
      <c r="H16" s="1">
        <v>38153</v>
      </c>
    </row>
    <row r="17" spans="1:8" ht="12.75">
      <c r="A17" s="1">
        <v>38164</v>
      </c>
      <c r="B17" t="s">
        <v>126</v>
      </c>
      <c r="C17">
        <v>50</v>
      </c>
      <c r="D17">
        <v>39</v>
      </c>
      <c r="E17">
        <f t="shared" si="0"/>
        <v>48.4</v>
      </c>
      <c r="F17">
        <f t="shared" si="1"/>
        <v>39.2</v>
      </c>
      <c r="G17">
        <f t="shared" si="2"/>
        <v>-9.199999999999996</v>
      </c>
      <c r="H17" s="1">
        <v>38160</v>
      </c>
    </row>
    <row r="18" spans="1:8" ht="12.75">
      <c r="A18" s="1">
        <v>38176</v>
      </c>
      <c r="B18" t="s">
        <v>240</v>
      </c>
      <c r="C18">
        <v>49</v>
      </c>
      <c r="D18">
        <v>36</v>
      </c>
      <c r="E18">
        <f t="shared" si="0"/>
        <v>48.4</v>
      </c>
      <c r="F18">
        <f t="shared" si="1"/>
        <v>38.6</v>
      </c>
      <c r="G18">
        <f t="shared" si="2"/>
        <v>-9.799999999999997</v>
      </c>
      <c r="H18" s="1">
        <v>38168</v>
      </c>
    </row>
    <row r="19" spans="1:8" ht="12.75">
      <c r="A19" s="1">
        <v>38184</v>
      </c>
      <c r="B19" t="s">
        <v>169</v>
      </c>
      <c r="C19">
        <v>58</v>
      </c>
      <c r="D19">
        <v>35</v>
      </c>
      <c r="E19">
        <f t="shared" si="0"/>
        <v>49.8</v>
      </c>
      <c r="F19">
        <f t="shared" si="1"/>
        <v>37.6</v>
      </c>
      <c r="G19">
        <f t="shared" si="2"/>
        <v>-12.199999999999996</v>
      </c>
      <c r="H19" s="1">
        <v>38182</v>
      </c>
    </row>
    <row r="20" spans="1:8" ht="12.75">
      <c r="A20" s="1">
        <v>38212</v>
      </c>
      <c r="B20" t="s">
        <v>169</v>
      </c>
      <c r="C20">
        <v>55</v>
      </c>
      <c r="D20">
        <v>41</v>
      </c>
      <c r="E20">
        <f t="shared" si="0"/>
        <v>51.8</v>
      </c>
      <c r="F20">
        <f t="shared" si="1"/>
        <v>37.6</v>
      </c>
      <c r="G20">
        <f t="shared" si="2"/>
        <v>-14.199999999999996</v>
      </c>
      <c r="H20" s="1">
        <v>38209</v>
      </c>
    </row>
    <row r="21" spans="1:8" ht="12.75">
      <c r="A21" s="1">
        <v>38220</v>
      </c>
      <c r="B21" t="s">
        <v>126</v>
      </c>
      <c r="C21">
        <v>58</v>
      </c>
      <c r="D21">
        <v>35</v>
      </c>
      <c r="E21">
        <f t="shared" si="0"/>
        <v>54</v>
      </c>
      <c r="F21">
        <f t="shared" si="1"/>
        <v>37.2</v>
      </c>
      <c r="G21">
        <f t="shared" si="2"/>
        <v>-16.799999999999997</v>
      </c>
      <c r="H21" s="1">
        <v>38218</v>
      </c>
    </row>
    <row r="22" spans="1:8" ht="12.75">
      <c r="A22" s="1">
        <v>38247</v>
      </c>
      <c r="B22" t="s">
        <v>59</v>
      </c>
      <c r="C22">
        <v>63</v>
      </c>
      <c r="D22">
        <v>31</v>
      </c>
      <c r="E22">
        <f t="shared" si="0"/>
        <v>56.6</v>
      </c>
      <c r="F22">
        <f t="shared" si="1"/>
        <v>35.6</v>
      </c>
      <c r="G22">
        <f t="shared" si="2"/>
        <v>-21</v>
      </c>
      <c r="H22" s="1">
        <v>38242</v>
      </c>
    </row>
    <row r="23" spans="1:8" ht="12.75">
      <c r="A23" s="1">
        <v>38253</v>
      </c>
      <c r="B23" t="s">
        <v>169</v>
      </c>
      <c r="C23">
        <v>58</v>
      </c>
      <c r="D23">
        <v>38</v>
      </c>
      <c r="E23">
        <f t="shared" si="0"/>
        <v>58.4</v>
      </c>
      <c r="F23">
        <f t="shared" si="1"/>
        <v>36</v>
      </c>
      <c r="G23">
        <f t="shared" si="2"/>
        <v>-22.4</v>
      </c>
      <c r="H23" s="1">
        <v>38251</v>
      </c>
    </row>
    <row r="24" spans="1:8" ht="12.75">
      <c r="A24" s="1">
        <v>38254</v>
      </c>
      <c r="B24" t="s">
        <v>126</v>
      </c>
      <c r="C24">
        <v>53</v>
      </c>
      <c r="D24">
        <v>41</v>
      </c>
      <c r="E24">
        <f t="shared" si="0"/>
        <v>57.4</v>
      </c>
      <c r="F24">
        <f t="shared" si="1"/>
        <v>37.2</v>
      </c>
      <c r="G24">
        <f t="shared" si="2"/>
        <v>-20.199999999999996</v>
      </c>
      <c r="H24" s="1">
        <v>38251</v>
      </c>
    </row>
    <row r="25" spans="1:8" ht="12.75">
      <c r="A25" s="1">
        <v>38275</v>
      </c>
      <c r="B25" t="s">
        <v>24</v>
      </c>
      <c r="C25">
        <v>51</v>
      </c>
      <c r="D25">
        <v>38</v>
      </c>
      <c r="E25">
        <f t="shared" si="0"/>
        <v>56.6</v>
      </c>
      <c r="F25">
        <f t="shared" si="1"/>
        <v>36.6</v>
      </c>
      <c r="G25">
        <f t="shared" si="2"/>
        <v>-20</v>
      </c>
      <c r="H25" s="1">
        <v>38265</v>
      </c>
    </row>
    <row r="26" spans="1:8" ht="12.75">
      <c r="A26" s="1">
        <v>38275</v>
      </c>
      <c r="B26" t="s">
        <v>169</v>
      </c>
      <c r="C26">
        <v>54</v>
      </c>
      <c r="D26">
        <v>41</v>
      </c>
      <c r="E26">
        <f t="shared" si="0"/>
        <v>55.8</v>
      </c>
      <c r="F26">
        <f t="shared" si="1"/>
        <v>37.8</v>
      </c>
      <c r="G26">
        <f t="shared" si="2"/>
        <v>-18</v>
      </c>
      <c r="H26" s="1">
        <v>38272</v>
      </c>
    </row>
    <row r="27" spans="1:8" ht="12.75">
      <c r="A27" s="1">
        <v>38283</v>
      </c>
      <c r="B27" t="s">
        <v>126</v>
      </c>
      <c r="C27">
        <v>53</v>
      </c>
      <c r="D27">
        <v>41</v>
      </c>
      <c r="E27">
        <f t="shared" si="0"/>
        <v>53.8</v>
      </c>
      <c r="F27">
        <f t="shared" si="1"/>
        <v>39.8</v>
      </c>
      <c r="G27">
        <f t="shared" si="2"/>
        <v>-14</v>
      </c>
      <c r="H27" s="1">
        <v>38281</v>
      </c>
    </row>
    <row r="28" spans="1:8" ht="12.75">
      <c r="A28" s="1">
        <v>38289</v>
      </c>
      <c r="B28" t="s">
        <v>126</v>
      </c>
      <c r="C28">
        <v>58</v>
      </c>
      <c r="D28">
        <v>37</v>
      </c>
      <c r="E28">
        <f t="shared" si="0"/>
        <v>53.8</v>
      </c>
      <c r="F28">
        <f t="shared" si="1"/>
        <v>39.6</v>
      </c>
      <c r="G28">
        <f t="shared" si="2"/>
        <v>-14.199999999999996</v>
      </c>
      <c r="H28" s="1">
        <v>38287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I4" sqref="I4:J7"/>
    </sheetView>
  </sheetViews>
  <sheetFormatPr defaultColWidth="11.00390625" defaultRowHeight="12.75"/>
  <cols>
    <col min="1" max="1" width="12.375" style="0" bestFit="1" customWidth="1"/>
    <col min="2" max="2" width="4.00390625" style="0" bestFit="1" customWidth="1"/>
    <col min="3" max="3" width="13.125" style="0" bestFit="1" customWidth="1"/>
    <col min="4" max="4" width="4.00390625" style="0" bestFit="1" customWidth="1"/>
    <col min="5" max="5" width="12.375" style="0" bestFit="1" customWidth="1"/>
    <col min="6" max="6" width="4.00390625" style="0" bestFit="1" customWidth="1"/>
    <col min="7" max="7" width="12.75390625" style="0" bestFit="1" customWidth="1"/>
    <col min="8" max="8" width="4.00390625" style="0" bestFit="1" customWidth="1"/>
    <col min="9" max="9" width="13.375" style="0" customWidth="1"/>
    <col min="10" max="10" width="4.00390625" style="0" bestFit="1" customWidth="1"/>
    <col min="11" max="11" width="12.75390625" style="0" bestFit="1" customWidth="1"/>
    <col min="12" max="12" width="4.00390625" style="0" bestFit="1" customWidth="1"/>
    <col min="13" max="13" width="7.25390625" style="0" bestFit="1" customWidth="1"/>
    <col min="14" max="14" width="3.00390625" style="0" bestFit="1" customWidth="1"/>
    <col min="16" max="16" width="4.00390625" style="0" bestFit="1" customWidth="1"/>
  </cols>
  <sheetData>
    <row r="1" spans="1:14" ht="12.75">
      <c r="A1" t="s">
        <v>108</v>
      </c>
      <c r="B1" t="s">
        <v>277</v>
      </c>
      <c r="C1" t="s">
        <v>112</v>
      </c>
      <c r="D1" t="s">
        <v>277</v>
      </c>
      <c r="E1" t="s">
        <v>51</v>
      </c>
      <c r="F1" t="s">
        <v>277</v>
      </c>
      <c r="G1" t="s">
        <v>55</v>
      </c>
      <c r="H1" t="s">
        <v>277</v>
      </c>
      <c r="I1" t="s">
        <v>106</v>
      </c>
      <c r="J1" t="s">
        <v>277</v>
      </c>
      <c r="K1" t="s">
        <v>105</v>
      </c>
      <c r="L1" t="s">
        <v>277</v>
      </c>
      <c r="M1" t="s">
        <v>212</v>
      </c>
      <c r="N1" t="s">
        <v>277</v>
      </c>
    </row>
    <row r="3" spans="1:12" ht="12.75">
      <c r="A3" t="s">
        <v>269</v>
      </c>
      <c r="B3">
        <v>34</v>
      </c>
      <c r="C3" t="s">
        <v>275</v>
      </c>
      <c r="D3">
        <v>5</v>
      </c>
      <c r="E3" t="s">
        <v>228</v>
      </c>
      <c r="F3">
        <v>15</v>
      </c>
      <c r="G3" t="s">
        <v>226</v>
      </c>
      <c r="H3">
        <v>27</v>
      </c>
      <c r="I3" t="s">
        <v>197</v>
      </c>
      <c r="J3">
        <v>21</v>
      </c>
      <c r="K3" t="s">
        <v>199</v>
      </c>
      <c r="L3">
        <v>55</v>
      </c>
    </row>
    <row r="4" spans="1:12" ht="12.75">
      <c r="A4" t="s">
        <v>268</v>
      </c>
      <c r="B4">
        <v>11</v>
      </c>
      <c r="E4" t="s">
        <v>232</v>
      </c>
      <c r="F4">
        <v>11</v>
      </c>
      <c r="G4" t="s">
        <v>188</v>
      </c>
      <c r="H4">
        <v>20</v>
      </c>
      <c r="I4" t="s">
        <v>198</v>
      </c>
      <c r="J4">
        <v>13</v>
      </c>
      <c r="K4" t="s">
        <v>201</v>
      </c>
      <c r="L4">
        <v>31</v>
      </c>
    </row>
    <row r="5" spans="1:12" ht="12.75">
      <c r="A5" t="s">
        <v>183</v>
      </c>
      <c r="B5">
        <v>9</v>
      </c>
      <c r="E5" t="s">
        <v>203</v>
      </c>
      <c r="F5">
        <v>11</v>
      </c>
      <c r="G5" t="s">
        <v>195</v>
      </c>
      <c r="H5">
        <v>15</v>
      </c>
      <c r="I5" t="s">
        <v>218</v>
      </c>
      <c r="J5">
        <v>9</v>
      </c>
      <c r="K5" t="s">
        <v>231</v>
      </c>
      <c r="L5">
        <v>21</v>
      </c>
    </row>
    <row r="6" spans="1:12" ht="12.75">
      <c r="A6" t="s">
        <v>244</v>
      </c>
      <c r="B6">
        <v>9</v>
      </c>
      <c r="E6" t="s">
        <v>216</v>
      </c>
      <c r="F6">
        <v>10</v>
      </c>
      <c r="I6" t="s">
        <v>257</v>
      </c>
      <c r="J6">
        <v>5</v>
      </c>
      <c r="K6" t="s">
        <v>253</v>
      </c>
      <c r="L6">
        <v>17</v>
      </c>
    </row>
    <row r="7" spans="1:12" ht="12.75">
      <c r="A7" t="s">
        <v>186</v>
      </c>
      <c r="B7">
        <v>8</v>
      </c>
      <c r="E7" t="s">
        <v>255</v>
      </c>
      <c r="F7">
        <v>3</v>
      </c>
      <c r="I7" t="s">
        <v>187</v>
      </c>
      <c r="J7">
        <v>5</v>
      </c>
      <c r="K7" t="s">
        <v>259</v>
      </c>
      <c r="L7">
        <v>15</v>
      </c>
    </row>
    <row r="8" spans="1:12" ht="12.75">
      <c r="A8" t="s">
        <v>266</v>
      </c>
      <c r="B8">
        <v>8</v>
      </c>
      <c r="E8" t="s">
        <v>260</v>
      </c>
      <c r="F8">
        <v>3</v>
      </c>
      <c r="K8" t="s">
        <v>190</v>
      </c>
      <c r="L8">
        <v>12</v>
      </c>
    </row>
    <row r="9" spans="1:12" ht="12.75">
      <c r="A9" t="s">
        <v>265</v>
      </c>
      <c r="B9">
        <v>7</v>
      </c>
      <c r="K9" t="s">
        <v>210</v>
      </c>
      <c r="L9">
        <v>11</v>
      </c>
    </row>
    <row r="10" spans="1:12" ht="12.75">
      <c r="A10" t="s">
        <v>217</v>
      </c>
      <c r="B10">
        <v>6</v>
      </c>
      <c r="K10" t="s">
        <v>247</v>
      </c>
      <c r="L10">
        <v>10</v>
      </c>
    </row>
    <row r="11" spans="1:12" ht="12.75">
      <c r="A11" t="s">
        <v>185</v>
      </c>
      <c r="B11">
        <v>6</v>
      </c>
      <c r="K11" t="s">
        <v>194</v>
      </c>
      <c r="L11">
        <v>10</v>
      </c>
    </row>
    <row r="12" spans="1:12" ht="12.75">
      <c r="A12" t="s">
        <v>254</v>
      </c>
      <c r="B12">
        <v>6</v>
      </c>
      <c r="K12" t="s">
        <v>211</v>
      </c>
      <c r="L12">
        <v>10</v>
      </c>
    </row>
    <row r="13" spans="1:12" ht="12.75">
      <c r="A13" t="s">
        <v>256</v>
      </c>
      <c r="B13">
        <v>5</v>
      </c>
      <c r="K13" t="s">
        <v>219</v>
      </c>
      <c r="L13">
        <v>7</v>
      </c>
    </row>
    <row r="14" spans="1:12" ht="12.75">
      <c r="A14" t="s">
        <v>270</v>
      </c>
      <c r="B14">
        <v>5</v>
      </c>
      <c r="K14" t="s">
        <v>200</v>
      </c>
      <c r="L14">
        <v>7</v>
      </c>
    </row>
    <row r="15" spans="1:12" ht="12.75">
      <c r="A15" t="s">
        <v>230</v>
      </c>
      <c r="B15">
        <v>4</v>
      </c>
      <c r="K15" t="s">
        <v>209</v>
      </c>
      <c r="L15">
        <v>7</v>
      </c>
    </row>
    <row r="16" spans="1:12" ht="12.75">
      <c r="A16" t="s">
        <v>215</v>
      </c>
      <c r="B16">
        <v>3</v>
      </c>
      <c r="K16" t="s">
        <v>229</v>
      </c>
      <c r="L16">
        <v>4</v>
      </c>
    </row>
    <row r="17" spans="1:12" ht="12.75">
      <c r="A17" t="s">
        <v>267</v>
      </c>
      <c r="B17">
        <v>3</v>
      </c>
      <c r="K17" t="s">
        <v>246</v>
      </c>
      <c r="L17">
        <v>4</v>
      </c>
    </row>
    <row r="18" spans="1:12" ht="12.75">
      <c r="A18" t="s">
        <v>276</v>
      </c>
      <c r="B18">
        <v>3</v>
      </c>
      <c r="K18" t="s">
        <v>258</v>
      </c>
      <c r="L18">
        <v>4</v>
      </c>
    </row>
    <row r="19" spans="11:12" ht="12.75">
      <c r="K19" t="s">
        <v>202</v>
      </c>
      <c r="L19">
        <v>4</v>
      </c>
    </row>
    <row r="20" spans="11:12" ht="12.75">
      <c r="K20" t="s">
        <v>224</v>
      </c>
      <c r="L20">
        <v>3</v>
      </c>
    </row>
    <row r="21" spans="11:12" ht="12.75">
      <c r="K21" t="s">
        <v>225</v>
      </c>
      <c r="L21">
        <v>3</v>
      </c>
    </row>
    <row r="22" spans="11:12" ht="12.75">
      <c r="K22" t="s">
        <v>271</v>
      </c>
      <c r="L22">
        <v>3</v>
      </c>
    </row>
    <row r="34" ht="12.75">
      <c r="G34">
        <f>F37+H37+N41</f>
        <v>115</v>
      </c>
    </row>
    <row r="37" spans="2:12" ht="12.75">
      <c r="B37">
        <f>SUM(B3:B35)</f>
        <v>127</v>
      </c>
      <c r="D37">
        <f>SUM(D3:D35)</f>
        <v>5</v>
      </c>
      <c r="F37">
        <f>SUM(F3:F35)</f>
        <v>53</v>
      </c>
      <c r="H37">
        <f>SUM(H3:H35)</f>
        <v>62</v>
      </c>
      <c r="J37">
        <f>SUM(J3:J35)</f>
        <v>53</v>
      </c>
      <c r="L37">
        <f>SUM(L3:L35)</f>
        <v>238</v>
      </c>
    </row>
    <row r="39" spans="4:10" ht="12.75">
      <c r="D39">
        <f>SUM(B37:F37)</f>
        <v>185</v>
      </c>
      <c r="J39">
        <f>SUM(H37:L37)</f>
        <v>353</v>
      </c>
    </row>
    <row r="41" spans="7:14" ht="12.75">
      <c r="G41">
        <f>SUM(D39:J39)</f>
        <v>538</v>
      </c>
      <c r="N41">
        <f>SUM(N3:N4)</f>
        <v>0</v>
      </c>
    </row>
    <row r="43" spans="3:11" ht="12.75">
      <c r="C43" t="s">
        <v>113</v>
      </c>
      <c r="F43" t="s">
        <v>114</v>
      </c>
      <c r="G43" t="s">
        <v>113</v>
      </c>
      <c r="I43" t="s">
        <v>114</v>
      </c>
      <c r="K43">
        <f>SUM(A41:N41)</f>
        <v>538</v>
      </c>
    </row>
    <row r="44" spans="1:6" ht="12.75">
      <c r="A44" t="s">
        <v>15</v>
      </c>
      <c r="C44">
        <f>SUM(B37:D37)</f>
        <v>132</v>
      </c>
      <c r="F44">
        <f>SUM(F37:L37)+N41</f>
        <v>406</v>
      </c>
    </row>
    <row r="46" spans="1:9" ht="12.75">
      <c r="A46" t="s">
        <v>16</v>
      </c>
      <c r="G46">
        <f>SUM(B37:H37)+N41</f>
        <v>247</v>
      </c>
      <c r="I46">
        <f>SUM(J37:L37)</f>
        <v>291</v>
      </c>
    </row>
    <row r="49" spans="3:11" ht="12.75">
      <c r="C49">
        <f>SUM(B37:D37)</f>
        <v>132</v>
      </c>
      <c r="G49">
        <f>SUM(F37:H37)</f>
        <v>115</v>
      </c>
      <c r="K49">
        <f>SUM(J37:L37)</f>
        <v>291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H32"/>
  <sheetViews>
    <sheetView tabSelected="1" zoomScalePageLayoutView="0" workbookViewId="0" topLeftCell="A1">
      <selection activeCell="H33" sqref="H33"/>
    </sheetView>
  </sheetViews>
  <sheetFormatPr defaultColWidth="11.00390625" defaultRowHeight="12.75"/>
  <sheetData>
    <row r="3" spans="3:7" ht="12.75">
      <c r="C3" s="3" t="s">
        <v>143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238</v>
      </c>
    </row>
    <row r="5" spans="1:8" ht="12.75">
      <c r="A5" s="1">
        <v>37950</v>
      </c>
      <c r="B5" t="s">
        <v>126</v>
      </c>
      <c r="C5">
        <v>56</v>
      </c>
      <c r="D5">
        <v>34</v>
      </c>
      <c r="E5">
        <f aca="true" t="shared" si="0" ref="E5:E32">AVERAGE(C1:C5)</f>
        <v>56</v>
      </c>
      <c r="F5">
        <f aca="true" t="shared" si="1" ref="F5:F32">AVERAGE(D1:D5)</f>
        <v>34</v>
      </c>
      <c r="G5">
        <f aca="true" t="shared" si="2" ref="G5:G32">F5-E5</f>
        <v>-22</v>
      </c>
      <c r="H5" s="1">
        <v>37935</v>
      </c>
    </row>
    <row r="6" spans="1:8" ht="12.75">
      <c r="A6" s="1">
        <v>37974</v>
      </c>
      <c r="B6" t="s">
        <v>126</v>
      </c>
      <c r="C6">
        <v>53</v>
      </c>
      <c r="D6">
        <v>35</v>
      </c>
      <c r="E6">
        <f t="shared" si="0"/>
        <v>54.5</v>
      </c>
      <c r="F6">
        <f t="shared" si="1"/>
        <v>34.5</v>
      </c>
      <c r="G6">
        <f t="shared" si="2"/>
        <v>-20</v>
      </c>
      <c r="H6" s="1">
        <v>37969</v>
      </c>
    </row>
    <row r="7" spans="1:8" ht="12.75">
      <c r="A7" s="1">
        <v>38120</v>
      </c>
      <c r="B7" t="s">
        <v>126</v>
      </c>
      <c r="C7">
        <v>61</v>
      </c>
      <c r="D7">
        <v>32</v>
      </c>
      <c r="E7">
        <f t="shared" si="0"/>
        <v>56.666666666666664</v>
      </c>
      <c r="F7">
        <f t="shared" si="1"/>
        <v>33.666666666666664</v>
      </c>
      <c r="G7">
        <f t="shared" si="2"/>
        <v>-23</v>
      </c>
      <c r="H7" s="1">
        <v>38020</v>
      </c>
    </row>
    <row r="8" spans="1:8" ht="12.75">
      <c r="A8" s="1">
        <v>38051</v>
      </c>
      <c r="B8" t="s">
        <v>126</v>
      </c>
      <c r="C8">
        <v>54</v>
      </c>
      <c r="D8">
        <v>33</v>
      </c>
      <c r="E8">
        <f t="shared" si="0"/>
        <v>56</v>
      </c>
      <c r="F8">
        <f t="shared" si="1"/>
        <v>33.5</v>
      </c>
      <c r="G8">
        <f t="shared" si="2"/>
        <v>-22.5</v>
      </c>
      <c r="H8" s="1">
        <v>38044</v>
      </c>
    </row>
    <row r="9" spans="1:8" ht="12.75">
      <c r="A9" s="1">
        <v>38065</v>
      </c>
      <c r="B9" t="s">
        <v>126</v>
      </c>
      <c r="C9">
        <v>64</v>
      </c>
      <c r="D9">
        <v>28</v>
      </c>
      <c r="E9">
        <f t="shared" si="0"/>
        <v>57.6</v>
      </c>
      <c r="F9">
        <f t="shared" si="1"/>
        <v>32.4</v>
      </c>
      <c r="G9">
        <f t="shared" si="2"/>
        <v>-25.200000000000003</v>
      </c>
      <c r="H9" s="1">
        <v>38061</v>
      </c>
    </row>
    <row r="10" spans="1:8" ht="12.75">
      <c r="A10" s="1">
        <v>38094</v>
      </c>
      <c r="B10" t="s">
        <v>126</v>
      </c>
      <c r="C10">
        <v>63</v>
      </c>
      <c r="D10">
        <v>29</v>
      </c>
      <c r="E10">
        <f t="shared" si="0"/>
        <v>59</v>
      </c>
      <c r="F10">
        <f t="shared" si="1"/>
        <v>31.4</v>
      </c>
      <c r="G10">
        <f t="shared" si="2"/>
        <v>-27.6</v>
      </c>
      <c r="H10" s="1">
        <v>38089</v>
      </c>
    </row>
    <row r="11" spans="1:8" ht="12.75">
      <c r="A11" s="1">
        <v>38120</v>
      </c>
      <c r="B11" t="s">
        <v>234</v>
      </c>
      <c r="C11">
        <v>58</v>
      </c>
      <c r="D11">
        <v>33</v>
      </c>
      <c r="E11">
        <f t="shared" si="0"/>
        <v>60</v>
      </c>
      <c r="F11">
        <f t="shared" si="1"/>
        <v>31</v>
      </c>
      <c r="G11">
        <f t="shared" si="2"/>
        <v>-29</v>
      </c>
      <c r="H11" s="1">
        <v>38115</v>
      </c>
    </row>
    <row r="12" spans="1:8" ht="12.75">
      <c r="A12" s="1">
        <v>38141</v>
      </c>
      <c r="B12" t="s">
        <v>126</v>
      </c>
      <c r="C12">
        <v>56</v>
      </c>
      <c r="D12">
        <v>32</v>
      </c>
      <c r="E12">
        <f t="shared" si="0"/>
        <v>59</v>
      </c>
      <c r="F12">
        <f t="shared" si="1"/>
        <v>31</v>
      </c>
      <c r="G12">
        <f t="shared" si="2"/>
        <v>-28</v>
      </c>
      <c r="H12" s="1">
        <v>38124</v>
      </c>
    </row>
    <row r="13" spans="1:8" ht="12.75">
      <c r="A13" s="1">
        <v>38133</v>
      </c>
      <c r="B13" t="s">
        <v>169</v>
      </c>
      <c r="C13">
        <v>57</v>
      </c>
      <c r="D13">
        <v>32</v>
      </c>
      <c r="E13">
        <f t="shared" si="0"/>
        <v>59.6</v>
      </c>
      <c r="F13">
        <f t="shared" si="1"/>
        <v>30.8</v>
      </c>
      <c r="G13">
        <f t="shared" si="2"/>
        <v>-28.8</v>
      </c>
      <c r="H13" s="1">
        <v>38128</v>
      </c>
    </row>
    <row r="14" spans="1:8" ht="12.75">
      <c r="A14" s="1">
        <v>38155</v>
      </c>
      <c r="B14" t="s">
        <v>126</v>
      </c>
      <c r="C14">
        <v>53</v>
      </c>
      <c r="D14">
        <v>41</v>
      </c>
      <c r="E14">
        <f t="shared" si="0"/>
        <v>57.4</v>
      </c>
      <c r="F14">
        <f t="shared" si="1"/>
        <v>33.4</v>
      </c>
      <c r="G14">
        <f t="shared" si="2"/>
        <v>-24</v>
      </c>
      <c r="H14" s="1">
        <v>38153</v>
      </c>
    </row>
    <row r="15" spans="1:8" ht="12.75">
      <c r="A15" s="1">
        <v>38158</v>
      </c>
      <c r="B15" t="s">
        <v>184</v>
      </c>
      <c r="C15">
        <v>50</v>
      </c>
      <c r="D15">
        <v>31</v>
      </c>
      <c r="E15">
        <f t="shared" si="0"/>
        <v>54.8</v>
      </c>
      <c r="F15">
        <f t="shared" si="1"/>
        <v>33.8</v>
      </c>
      <c r="G15">
        <f t="shared" si="2"/>
        <v>-21</v>
      </c>
      <c r="H15" s="1">
        <v>38154</v>
      </c>
    </row>
    <row r="16" spans="1:8" ht="12.75">
      <c r="A16" s="1">
        <v>38165</v>
      </c>
      <c r="B16" t="s">
        <v>169</v>
      </c>
      <c r="C16">
        <v>51</v>
      </c>
      <c r="D16">
        <v>35</v>
      </c>
      <c r="E16">
        <f t="shared" si="0"/>
        <v>53.4</v>
      </c>
      <c r="F16">
        <f t="shared" si="1"/>
        <v>34.2</v>
      </c>
      <c r="G16">
        <f t="shared" si="2"/>
        <v>-19.199999999999996</v>
      </c>
      <c r="H16" s="1">
        <v>38164</v>
      </c>
    </row>
    <row r="17" spans="1:8" ht="12.75">
      <c r="A17" s="1">
        <v>38176</v>
      </c>
      <c r="B17" t="s">
        <v>239</v>
      </c>
      <c r="C17">
        <v>44</v>
      </c>
      <c r="D17">
        <v>39</v>
      </c>
      <c r="E17">
        <f t="shared" si="0"/>
        <v>51</v>
      </c>
      <c r="F17">
        <f t="shared" si="1"/>
        <v>35.6</v>
      </c>
      <c r="G17">
        <f t="shared" si="2"/>
        <v>-15.399999999999999</v>
      </c>
      <c r="H17" s="1">
        <v>38167</v>
      </c>
    </row>
    <row r="18" spans="1:8" ht="12.75">
      <c r="A18" s="1">
        <v>38199</v>
      </c>
      <c r="B18" t="s">
        <v>169</v>
      </c>
      <c r="C18">
        <v>52</v>
      </c>
      <c r="D18">
        <v>43</v>
      </c>
      <c r="E18">
        <f t="shared" si="0"/>
        <v>50</v>
      </c>
      <c r="F18">
        <f t="shared" si="1"/>
        <v>37.8</v>
      </c>
      <c r="G18">
        <f t="shared" si="2"/>
        <v>-12.200000000000003</v>
      </c>
      <c r="H18" s="1">
        <v>38196</v>
      </c>
    </row>
    <row r="19" spans="1:8" ht="12.75">
      <c r="A19" s="1">
        <v>38200</v>
      </c>
      <c r="B19" t="s">
        <v>208</v>
      </c>
      <c r="C19">
        <v>56</v>
      </c>
      <c r="D19">
        <v>35</v>
      </c>
      <c r="E19">
        <f t="shared" si="0"/>
        <v>50.6</v>
      </c>
      <c r="F19">
        <f t="shared" si="1"/>
        <v>36.6</v>
      </c>
      <c r="G19">
        <f t="shared" si="2"/>
        <v>-14</v>
      </c>
      <c r="H19" s="1">
        <v>38197</v>
      </c>
    </row>
    <row r="20" spans="1:8" ht="12.75">
      <c r="A20" s="1">
        <v>38211</v>
      </c>
      <c r="B20" t="s">
        <v>126</v>
      </c>
      <c r="C20">
        <v>55</v>
      </c>
      <c r="D20">
        <v>37</v>
      </c>
      <c r="E20">
        <f t="shared" si="0"/>
        <v>51.6</v>
      </c>
      <c r="F20">
        <f t="shared" si="1"/>
        <v>37.8</v>
      </c>
      <c r="G20">
        <f t="shared" si="2"/>
        <v>-13.800000000000004</v>
      </c>
      <c r="H20" s="1">
        <v>38209</v>
      </c>
    </row>
    <row r="21" spans="1:8" ht="12.75">
      <c r="A21" s="1">
        <v>38247</v>
      </c>
      <c r="B21" t="s">
        <v>59</v>
      </c>
      <c r="C21">
        <v>57</v>
      </c>
      <c r="D21">
        <v>37</v>
      </c>
      <c r="E21">
        <f t="shared" si="0"/>
        <v>52.8</v>
      </c>
      <c r="F21">
        <f t="shared" si="1"/>
        <v>38.2</v>
      </c>
      <c r="G21">
        <f t="shared" si="2"/>
        <v>-14.599999999999994</v>
      </c>
      <c r="H21" s="1">
        <v>38242</v>
      </c>
    </row>
    <row r="22" spans="1:8" ht="12.75">
      <c r="A22" s="1">
        <v>38249</v>
      </c>
      <c r="B22" t="s">
        <v>81</v>
      </c>
      <c r="C22">
        <v>55</v>
      </c>
      <c r="D22">
        <v>37</v>
      </c>
      <c r="E22">
        <f t="shared" si="0"/>
        <v>55</v>
      </c>
      <c r="F22">
        <f t="shared" si="1"/>
        <v>37.8</v>
      </c>
      <c r="G22">
        <f t="shared" si="2"/>
        <v>-17.200000000000003</v>
      </c>
      <c r="H22" s="1">
        <v>38246</v>
      </c>
    </row>
    <row r="23" spans="1:8" ht="12.75">
      <c r="A23" s="1">
        <v>38253</v>
      </c>
      <c r="B23" t="s">
        <v>126</v>
      </c>
      <c r="C23">
        <v>57</v>
      </c>
      <c r="D23">
        <v>38</v>
      </c>
      <c r="E23">
        <f t="shared" si="0"/>
        <v>56</v>
      </c>
      <c r="F23">
        <f t="shared" si="1"/>
        <v>36.8</v>
      </c>
      <c r="G23">
        <f t="shared" si="2"/>
        <v>-19.200000000000003</v>
      </c>
      <c r="H23" s="1">
        <v>38251</v>
      </c>
    </row>
    <row r="24" spans="1:8" ht="12.75">
      <c r="A24" s="1">
        <v>38258</v>
      </c>
      <c r="B24" t="s">
        <v>89</v>
      </c>
      <c r="C24">
        <v>53</v>
      </c>
      <c r="D24">
        <v>41</v>
      </c>
      <c r="E24">
        <f t="shared" si="0"/>
        <v>55.4</v>
      </c>
      <c r="F24">
        <f t="shared" si="1"/>
        <v>38</v>
      </c>
      <c r="G24">
        <f t="shared" si="2"/>
        <v>-17.4</v>
      </c>
      <c r="H24" s="1">
        <v>38254</v>
      </c>
    </row>
    <row r="25" spans="1:8" ht="12.75">
      <c r="A25" s="1">
        <v>38262</v>
      </c>
      <c r="B25" t="s">
        <v>169</v>
      </c>
      <c r="C25">
        <v>52</v>
      </c>
      <c r="D25">
        <v>42</v>
      </c>
      <c r="E25">
        <f t="shared" si="0"/>
        <v>54.8</v>
      </c>
      <c r="F25">
        <f t="shared" si="1"/>
        <v>39</v>
      </c>
      <c r="G25">
        <f t="shared" si="2"/>
        <v>-15.799999999999997</v>
      </c>
      <c r="H25" s="1">
        <v>38260</v>
      </c>
    </row>
    <row r="26" spans="1:8" ht="12.75">
      <c r="A26" s="1">
        <v>38279</v>
      </c>
      <c r="B26" t="s">
        <v>81</v>
      </c>
      <c r="C26">
        <v>53</v>
      </c>
      <c r="D26">
        <v>39</v>
      </c>
      <c r="E26">
        <f t="shared" si="0"/>
        <v>54</v>
      </c>
      <c r="F26">
        <f t="shared" si="1"/>
        <v>39.4</v>
      </c>
      <c r="G26">
        <f t="shared" si="2"/>
        <v>-14.600000000000001</v>
      </c>
      <c r="H26" s="1">
        <v>38275</v>
      </c>
    </row>
    <row r="27" spans="1:8" ht="12.75">
      <c r="A27" s="1">
        <v>38281</v>
      </c>
      <c r="B27" t="s">
        <v>126</v>
      </c>
      <c r="C27">
        <v>54</v>
      </c>
      <c r="D27">
        <v>41</v>
      </c>
      <c r="E27">
        <f t="shared" si="0"/>
        <v>53.8</v>
      </c>
      <c r="F27">
        <f t="shared" si="1"/>
        <v>40.2</v>
      </c>
      <c r="G27">
        <f t="shared" si="2"/>
        <v>-13.599999999999994</v>
      </c>
      <c r="H27" s="1">
        <v>38279</v>
      </c>
    </row>
    <row r="28" spans="1:8" ht="12.75">
      <c r="A28" s="1">
        <v>38282</v>
      </c>
      <c r="B28" t="s">
        <v>169</v>
      </c>
      <c r="C28">
        <v>52</v>
      </c>
      <c r="D28">
        <v>44</v>
      </c>
      <c r="E28">
        <f t="shared" si="0"/>
        <v>52.8</v>
      </c>
      <c r="F28">
        <f t="shared" si="1"/>
        <v>41.4</v>
      </c>
      <c r="G28">
        <f t="shared" si="2"/>
        <v>-11.399999999999999</v>
      </c>
      <c r="H28" s="1">
        <v>38280</v>
      </c>
    </row>
    <row r="29" spans="1:8" ht="12.75">
      <c r="A29" s="1">
        <v>38283</v>
      </c>
      <c r="B29" t="s">
        <v>234</v>
      </c>
      <c r="C29">
        <v>55</v>
      </c>
      <c r="D29">
        <v>39</v>
      </c>
      <c r="E29">
        <f t="shared" si="0"/>
        <v>53.2</v>
      </c>
      <c r="F29">
        <f t="shared" si="1"/>
        <v>41</v>
      </c>
      <c r="G29">
        <f t="shared" si="2"/>
        <v>-12.200000000000003</v>
      </c>
      <c r="H29" s="1">
        <v>38280</v>
      </c>
    </row>
    <row r="30" spans="1:8" ht="12.75">
      <c r="A30" s="1">
        <v>38290</v>
      </c>
      <c r="B30" t="s">
        <v>169</v>
      </c>
      <c r="C30">
        <v>55</v>
      </c>
      <c r="D30">
        <v>43</v>
      </c>
      <c r="E30">
        <f t="shared" si="0"/>
        <v>53.8</v>
      </c>
      <c r="F30">
        <f t="shared" si="1"/>
        <v>41.2</v>
      </c>
      <c r="G30">
        <f t="shared" si="2"/>
        <v>-12.599999999999994</v>
      </c>
      <c r="H30" s="1">
        <v>38288</v>
      </c>
    </row>
    <row r="31" spans="1:8" ht="12.75">
      <c r="A31" s="1">
        <v>38291</v>
      </c>
      <c r="B31" t="s">
        <v>81</v>
      </c>
      <c r="C31">
        <v>56</v>
      </c>
      <c r="D31">
        <v>39</v>
      </c>
      <c r="E31">
        <f t="shared" si="0"/>
        <v>54.4</v>
      </c>
      <c r="F31">
        <f t="shared" si="1"/>
        <v>41.2</v>
      </c>
      <c r="G31">
        <f t="shared" si="2"/>
        <v>-13.199999999999996</v>
      </c>
      <c r="H31" s="1">
        <v>38288</v>
      </c>
    </row>
    <row r="32" spans="1:8" ht="12.75">
      <c r="A32" s="1">
        <v>38292</v>
      </c>
      <c r="B32" t="s">
        <v>303</v>
      </c>
      <c r="C32">
        <v>53</v>
      </c>
      <c r="D32">
        <v>41</v>
      </c>
      <c r="E32">
        <f t="shared" si="0"/>
        <v>54.2</v>
      </c>
      <c r="F32">
        <f t="shared" si="1"/>
        <v>41.2</v>
      </c>
      <c r="G32">
        <f t="shared" si="2"/>
        <v>-13</v>
      </c>
      <c r="H32" s="1">
        <v>38288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C13" sqref="C13"/>
    </sheetView>
  </sheetViews>
  <sheetFormatPr defaultColWidth="11.00390625" defaultRowHeight="12.75"/>
  <sheetData>
    <row r="3" spans="3:7" ht="12.75">
      <c r="C3" s="3" t="s">
        <v>47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54</v>
      </c>
      <c r="D5">
        <v>39</v>
      </c>
      <c r="E5">
        <f aca="true" t="shared" si="0" ref="E5:F17">AVERAGE(C1:C5)</f>
        <v>54</v>
      </c>
      <c r="F5">
        <f t="shared" si="0"/>
        <v>39</v>
      </c>
      <c r="G5">
        <f aca="true" t="shared" si="1" ref="G5:G17">F5-E5</f>
        <v>-15</v>
      </c>
      <c r="H5" s="1">
        <v>38044</v>
      </c>
    </row>
    <row r="6" spans="1:8" ht="12.75">
      <c r="A6" s="1">
        <v>38120</v>
      </c>
      <c r="B6" t="s">
        <v>235</v>
      </c>
      <c r="C6">
        <v>51</v>
      </c>
      <c r="D6">
        <v>35</v>
      </c>
      <c r="E6">
        <f t="shared" si="0"/>
        <v>52.5</v>
      </c>
      <c r="F6">
        <f t="shared" si="0"/>
        <v>37</v>
      </c>
      <c r="G6">
        <f t="shared" si="1"/>
        <v>-15.5</v>
      </c>
      <c r="H6" s="1">
        <v>38085</v>
      </c>
    </row>
    <row r="7" spans="1:8" ht="12.75">
      <c r="A7" s="1">
        <v>38088</v>
      </c>
      <c r="B7" t="s">
        <v>169</v>
      </c>
      <c r="C7">
        <v>52</v>
      </c>
      <c r="D7">
        <v>41</v>
      </c>
      <c r="E7">
        <f t="shared" si="0"/>
        <v>52.333333333333336</v>
      </c>
      <c r="F7">
        <f t="shared" si="0"/>
        <v>38.333333333333336</v>
      </c>
      <c r="G7">
        <f t="shared" si="1"/>
        <v>-14</v>
      </c>
      <c r="H7" s="1">
        <v>38088</v>
      </c>
    </row>
    <row r="8" spans="1:8" ht="12.75">
      <c r="A8" s="1">
        <v>38139</v>
      </c>
      <c r="B8" t="s">
        <v>169</v>
      </c>
      <c r="C8">
        <v>50</v>
      </c>
      <c r="D8">
        <v>41</v>
      </c>
      <c r="E8">
        <f t="shared" si="0"/>
        <v>51.75</v>
      </c>
      <c r="F8">
        <f t="shared" si="0"/>
        <v>39</v>
      </c>
      <c r="G8">
        <f t="shared" si="1"/>
        <v>-12.75</v>
      </c>
      <c r="H8" s="1">
        <v>38139</v>
      </c>
    </row>
    <row r="9" spans="1:8" ht="12.75">
      <c r="A9" s="1">
        <v>38169</v>
      </c>
      <c r="B9" t="s">
        <v>251</v>
      </c>
      <c r="C9">
        <v>52</v>
      </c>
      <c r="D9">
        <v>36</v>
      </c>
      <c r="E9">
        <f t="shared" si="0"/>
        <v>51.8</v>
      </c>
      <c r="F9">
        <f t="shared" si="0"/>
        <v>38.4</v>
      </c>
      <c r="G9">
        <f t="shared" si="1"/>
        <v>-13.399999999999999</v>
      </c>
      <c r="H9" s="1">
        <v>38165</v>
      </c>
    </row>
    <row r="10" spans="1:8" ht="12.75">
      <c r="A10" s="1">
        <v>38176</v>
      </c>
      <c r="B10" t="s">
        <v>239</v>
      </c>
      <c r="C10">
        <v>47</v>
      </c>
      <c r="D10">
        <v>40</v>
      </c>
      <c r="E10">
        <f t="shared" si="0"/>
        <v>50.4</v>
      </c>
      <c r="F10">
        <f t="shared" si="0"/>
        <v>38.6</v>
      </c>
      <c r="G10">
        <f t="shared" si="1"/>
        <v>-11.799999999999997</v>
      </c>
      <c r="H10" s="1">
        <v>38167</v>
      </c>
    </row>
    <row r="11" spans="1:8" ht="12.75">
      <c r="A11" s="1">
        <v>38182</v>
      </c>
      <c r="B11" t="s">
        <v>169</v>
      </c>
      <c r="C11">
        <v>54</v>
      </c>
      <c r="D11">
        <v>34</v>
      </c>
      <c r="E11">
        <f t="shared" si="0"/>
        <v>51</v>
      </c>
      <c r="F11">
        <f t="shared" si="0"/>
        <v>38.4</v>
      </c>
      <c r="G11">
        <f t="shared" si="1"/>
        <v>-12.600000000000001</v>
      </c>
      <c r="H11" s="1">
        <v>38176</v>
      </c>
    </row>
    <row r="12" spans="1:8" ht="12.75">
      <c r="A12" s="1">
        <v>38218</v>
      </c>
      <c r="B12" t="s">
        <v>169</v>
      </c>
      <c r="C12">
        <v>57</v>
      </c>
      <c r="D12">
        <v>39</v>
      </c>
      <c r="E12">
        <f t="shared" si="0"/>
        <v>52</v>
      </c>
      <c r="F12">
        <f t="shared" si="0"/>
        <v>38</v>
      </c>
      <c r="G12">
        <f t="shared" si="1"/>
        <v>-14</v>
      </c>
      <c r="H12" s="1">
        <v>38212</v>
      </c>
    </row>
    <row r="13" spans="1:8" ht="12.75">
      <c r="A13" s="1">
        <v>38247</v>
      </c>
      <c r="B13" t="s">
        <v>59</v>
      </c>
      <c r="C13">
        <v>50</v>
      </c>
      <c r="D13">
        <v>43</v>
      </c>
      <c r="E13">
        <f t="shared" si="0"/>
        <v>52</v>
      </c>
      <c r="F13">
        <f t="shared" si="0"/>
        <v>38.4</v>
      </c>
      <c r="G13">
        <f t="shared" si="1"/>
        <v>-13.600000000000001</v>
      </c>
      <c r="H13" s="1">
        <v>38242</v>
      </c>
    </row>
    <row r="14" spans="1:8" ht="12.75">
      <c r="A14" s="1">
        <v>38256</v>
      </c>
      <c r="B14" t="s">
        <v>169</v>
      </c>
      <c r="C14">
        <v>55</v>
      </c>
      <c r="D14">
        <v>40</v>
      </c>
      <c r="E14">
        <f t="shared" si="0"/>
        <v>52.6</v>
      </c>
      <c r="F14">
        <f t="shared" si="0"/>
        <v>39.2</v>
      </c>
      <c r="G14">
        <f t="shared" si="1"/>
        <v>-13.399999999999999</v>
      </c>
      <c r="H14" s="1">
        <v>38254</v>
      </c>
    </row>
    <row r="15" spans="1:8" ht="12.75">
      <c r="A15" s="1">
        <v>38283</v>
      </c>
      <c r="B15" t="s">
        <v>169</v>
      </c>
      <c r="C15">
        <v>57</v>
      </c>
      <c r="D15">
        <v>41</v>
      </c>
      <c r="E15">
        <f t="shared" si="0"/>
        <v>54.6</v>
      </c>
      <c r="F15">
        <f t="shared" si="0"/>
        <v>39.4</v>
      </c>
      <c r="G15">
        <f t="shared" si="1"/>
        <v>-15.200000000000003</v>
      </c>
      <c r="H15" s="1">
        <v>38281</v>
      </c>
    </row>
    <row r="16" spans="1:8" ht="12.75">
      <c r="A16" s="1">
        <v>38288</v>
      </c>
      <c r="B16" t="s">
        <v>5</v>
      </c>
      <c r="C16">
        <v>51</v>
      </c>
      <c r="D16">
        <v>39</v>
      </c>
      <c r="E16">
        <f t="shared" si="0"/>
        <v>54</v>
      </c>
      <c r="F16">
        <f t="shared" si="0"/>
        <v>40.4</v>
      </c>
      <c r="G16">
        <f t="shared" si="1"/>
        <v>-13.600000000000001</v>
      </c>
      <c r="H16" s="1">
        <v>38282</v>
      </c>
    </row>
    <row r="17" spans="1:8" ht="12.75">
      <c r="A17" s="1">
        <v>38290</v>
      </c>
      <c r="B17" t="s">
        <v>8</v>
      </c>
      <c r="C17">
        <v>43</v>
      </c>
      <c r="D17">
        <v>40</v>
      </c>
      <c r="E17">
        <f t="shared" si="0"/>
        <v>51.2</v>
      </c>
      <c r="F17">
        <f t="shared" si="0"/>
        <v>40.6</v>
      </c>
      <c r="G17">
        <f t="shared" si="1"/>
        <v>-10.600000000000001</v>
      </c>
      <c r="H17" s="1">
        <v>38285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H23"/>
  <sheetViews>
    <sheetView zoomScalePageLayoutView="0" workbookViewId="0" topLeftCell="A1">
      <selection activeCell="C19" sqref="C19"/>
    </sheetView>
  </sheetViews>
  <sheetFormatPr defaultColWidth="11.00390625" defaultRowHeight="12.75"/>
  <sheetData>
    <row r="3" spans="3:7" ht="12.75">
      <c r="C3" s="3" t="s">
        <v>49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38051</v>
      </c>
      <c r="B5" t="s">
        <v>126</v>
      </c>
      <c r="C5">
        <v>39</v>
      </c>
      <c r="D5">
        <v>53</v>
      </c>
      <c r="E5">
        <f aca="true" t="shared" si="0" ref="E5:E23">AVERAGE(C1:C5)</f>
        <v>39</v>
      </c>
      <c r="F5">
        <f aca="true" t="shared" si="1" ref="F5:F23">AVERAGE(D1:D5)</f>
        <v>53</v>
      </c>
      <c r="G5">
        <f aca="true" t="shared" si="2" ref="G5:G23">F5-E5</f>
        <v>14</v>
      </c>
      <c r="H5" s="1">
        <v>38044</v>
      </c>
    </row>
    <row r="6" spans="1:8" ht="12.75">
      <c r="A6" s="1">
        <v>38081</v>
      </c>
      <c r="B6" t="s">
        <v>169</v>
      </c>
      <c r="C6">
        <v>39</v>
      </c>
      <c r="D6">
        <v>49</v>
      </c>
      <c r="E6">
        <f t="shared" si="0"/>
        <v>39</v>
      </c>
      <c r="F6">
        <f t="shared" si="1"/>
        <v>51</v>
      </c>
      <c r="G6">
        <f t="shared" si="2"/>
        <v>12</v>
      </c>
      <c r="H6" s="1">
        <v>38077</v>
      </c>
    </row>
    <row r="7" spans="1:8" ht="12.75">
      <c r="A7" s="1">
        <v>38123</v>
      </c>
      <c r="B7" t="s">
        <v>169</v>
      </c>
      <c r="C7">
        <v>38</v>
      </c>
      <c r="D7">
        <v>51</v>
      </c>
      <c r="E7">
        <f t="shared" si="0"/>
        <v>38.666666666666664</v>
      </c>
      <c r="F7">
        <f t="shared" si="1"/>
        <v>51</v>
      </c>
      <c r="G7">
        <f t="shared" si="2"/>
        <v>12.333333333333336</v>
      </c>
      <c r="H7" s="1">
        <v>38122</v>
      </c>
    </row>
    <row r="8" spans="1:8" ht="12.75">
      <c r="A8" s="1">
        <v>38156</v>
      </c>
      <c r="B8" t="s">
        <v>169</v>
      </c>
      <c r="C8">
        <v>33</v>
      </c>
      <c r="D8">
        <v>55</v>
      </c>
      <c r="E8">
        <f t="shared" si="0"/>
        <v>37.25</v>
      </c>
      <c r="F8">
        <f t="shared" si="1"/>
        <v>52</v>
      </c>
      <c r="G8">
        <f t="shared" si="2"/>
        <v>14.75</v>
      </c>
      <c r="H8" s="1">
        <v>38155</v>
      </c>
    </row>
    <row r="9" spans="1:8" ht="12.75">
      <c r="A9" s="1">
        <v>38176</v>
      </c>
      <c r="B9" t="s">
        <v>241</v>
      </c>
      <c r="C9">
        <v>32</v>
      </c>
      <c r="D9">
        <v>46</v>
      </c>
      <c r="E9">
        <f t="shared" si="0"/>
        <v>36.2</v>
      </c>
      <c r="F9">
        <f t="shared" si="1"/>
        <v>50.8</v>
      </c>
      <c r="G9">
        <f t="shared" si="2"/>
        <v>14.599999999999994</v>
      </c>
      <c r="H9" s="1">
        <v>38155</v>
      </c>
    </row>
    <row r="10" spans="1:8" ht="12.75">
      <c r="A10" s="1">
        <v>38193</v>
      </c>
      <c r="B10" t="s">
        <v>273</v>
      </c>
      <c r="C10">
        <v>31</v>
      </c>
      <c r="D10">
        <v>51</v>
      </c>
      <c r="E10">
        <f t="shared" si="0"/>
        <v>34.6</v>
      </c>
      <c r="F10">
        <f t="shared" si="1"/>
        <v>50.4</v>
      </c>
      <c r="G10">
        <f t="shared" si="2"/>
        <v>15.799999999999997</v>
      </c>
      <c r="H10" s="1">
        <v>38164</v>
      </c>
    </row>
    <row r="11" spans="1:8" ht="12.75">
      <c r="A11" s="1">
        <v>38186</v>
      </c>
      <c r="B11" t="s">
        <v>169</v>
      </c>
      <c r="C11">
        <v>41</v>
      </c>
      <c r="D11">
        <v>49</v>
      </c>
      <c r="E11">
        <f t="shared" si="0"/>
        <v>35</v>
      </c>
      <c r="F11">
        <f t="shared" si="1"/>
        <v>50.4</v>
      </c>
      <c r="G11">
        <f t="shared" si="2"/>
        <v>15.399999999999999</v>
      </c>
      <c r="H11" s="1">
        <v>38184</v>
      </c>
    </row>
    <row r="12" spans="1:8" ht="12.75">
      <c r="A12" s="1">
        <v>38214</v>
      </c>
      <c r="B12" t="s">
        <v>169</v>
      </c>
      <c r="C12">
        <v>39</v>
      </c>
      <c r="D12">
        <v>53</v>
      </c>
      <c r="E12">
        <f t="shared" si="0"/>
        <v>35.2</v>
      </c>
      <c r="F12">
        <f t="shared" si="1"/>
        <v>50.8</v>
      </c>
      <c r="G12">
        <f t="shared" si="2"/>
        <v>15.599999999999994</v>
      </c>
      <c r="H12" s="1">
        <v>38210</v>
      </c>
    </row>
    <row r="13" spans="1:8" ht="12.75">
      <c r="A13" s="1">
        <v>38241</v>
      </c>
      <c r="B13" t="s">
        <v>81</v>
      </c>
      <c r="C13">
        <v>38</v>
      </c>
      <c r="D13">
        <v>52</v>
      </c>
      <c r="E13">
        <f t="shared" si="0"/>
        <v>36.2</v>
      </c>
      <c r="F13">
        <f t="shared" si="1"/>
        <v>50.2</v>
      </c>
      <c r="G13">
        <f t="shared" si="2"/>
        <v>14</v>
      </c>
      <c r="H13" s="1">
        <v>38239</v>
      </c>
    </row>
    <row r="14" spans="1:8" ht="12.75">
      <c r="A14" s="1">
        <v>38247</v>
      </c>
      <c r="B14" t="s">
        <v>59</v>
      </c>
      <c r="C14">
        <v>41</v>
      </c>
      <c r="D14">
        <v>51</v>
      </c>
      <c r="E14">
        <f t="shared" si="0"/>
        <v>38</v>
      </c>
      <c r="F14">
        <f t="shared" si="1"/>
        <v>51.2</v>
      </c>
      <c r="G14">
        <f t="shared" si="2"/>
        <v>13.200000000000003</v>
      </c>
      <c r="H14" s="1">
        <v>38242</v>
      </c>
    </row>
    <row r="15" spans="1:8" ht="12.75">
      <c r="A15" s="1">
        <v>38249</v>
      </c>
      <c r="B15" t="s">
        <v>169</v>
      </c>
      <c r="C15">
        <v>46</v>
      </c>
      <c r="D15">
        <v>50</v>
      </c>
      <c r="E15">
        <f t="shared" si="0"/>
        <v>41</v>
      </c>
      <c r="F15">
        <f t="shared" si="1"/>
        <v>51</v>
      </c>
      <c r="G15">
        <f t="shared" si="2"/>
        <v>10</v>
      </c>
      <c r="H15" s="1">
        <v>38246</v>
      </c>
    </row>
    <row r="16" spans="1:8" ht="12.75">
      <c r="A16" s="1">
        <v>38254</v>
      </c>
      <c r="B16" t="s">
        <v>126</v>
      </c>
      <c r="C16">
        <v>44</v>
      </c>
      <c r="D16">
        <v>49</v>
      </c>
      <c r="E16">
        <f t="shared" si="0"/>
        <v>41.6</v>
      </c>
      <c r="F16">
        <f t="shared" si="1"/>
        <v>51</v>
      </c>
      <c r="G16">
        <f t="shared" si="2"/>
        <v>9.399999999999999</v>
      </c>
      <c r="H16" s="1">
        <v>38252</v>
      </c>
    </row>
    <row r="17" spans="1:8" ht="12.75">
      <c r="A17" s="1">
        <v>38266</v>
      </c>
      <c r="B17" t="s">
        <v>169</v>
      </c>
      <c r="C17">
        <v>46</v>
      </c>
      <c r="D17">
        <v>51</v>
      </c>
      <c r="E17">
        <f t="shared" si="0"/>
        <v>43</v>
      </c>
      <c r="F17">
        <f t="shared" si="1"/>
        <v>50.6</v>
      </c>
      <c r="G17">
        <f t="shared" si="2"/>
        <v>7.600000000000001</v>
      </c>
      <c r="H17" s="1">
        <v>38261</v>
      </c>
    </row>
    <row r="18" spans="1:8" ht="12.75">
      <c r="A18" s="1">
        <v>38266</v>
      </c>
      <c r="B18" t="s">
        <v>309</v>
      </c>
      <c r="C18">
        <v>35</v>
      </c>
      <c r="D18">
        <v>52</v>
      </c>
      <c r="E18">
        <f t="shared" si="0"/>
        <v>42.4</v>
      </c>
      <c r="F18">
        <f t="shared" si="1"/>
        <v>50.6</v>
      </c>
      <c r="G18">
        <f t="shared" si="2"/>
        <v>8.200000000000003</v>
      </c>
      <c r="H18" s="1">
        <v>38261</v>
      </c>
    </row>
    <row r="19" spans="1:8" ht="12.75">
      <c r="A19" s="1">
        <v>38278</v>
      </c>
      <c r="B19" t="s">
        <v>81</v>
      </c>
      <c r="C19">
        <v>38</v>
      </c>
      <c r="D19">
        <v>55</v>
      </c>
      <c r="E19">
        <f t="shared" si="0"/>
        <v>41.8</v>
      </c>
      <c r="F19">
        <f t="shared" si="1"/>
        <v>51.4</v>
      </c>
      <c r="G19">
        <f t="shared" si="2"/>
        <v>9.600000000000001</v>
      </c>
      <c r="H19" s="1">
        <v>38274</v>
      </c>
    </row>
    <row r="20" spans="1:8" ht="12.75">
      <c r="A20" s="1">
        <v>38281</v>
      </c>
      <c r="B20" t="s">
        <v>241</v>
      </c>
      <c r="C20">
        <v>39</v>
      </c>
      <c r="D20">
        <v>51</v>
      </c>
      <c r="E20">
        <f t="shared" si="0"/>
        <v>40.4</v>
      </c>
      <c r="F20">
        <f t="shared" si="1"/>
        <v>51.6</v>
      </c>
      <c r="G20">
        <f t="shared" si="2"/>
        <v>11.200000000000003</v>
      </c>
      <c r="H20" s="1">
        <v>38275</v>
      </c>
    </row>
    <row r="21" spans="1:8" ht="12.75">
      <c r="A21" s="1">
        <v>38283</v>
      </c>
      <c r="B21" t="s">
        <v>273</v>
      </c>
      <c r="C21">
        <v>35</v>
      </c>
      <c r="D21">
        <v>56</v>
      </c>
      <c r="E21">
        <f t="shared" si="0"/>
        <v>38.6</v>
      </c>
      <c r="F21">
        <f t="shared" si="1"/>
        <v>53</v>
      </c>
      <c r="G21">
        <f t="shared" si="2"/>
        <v>14.399999999999999</v>
      </c>
      <c r="H21" s="1">
        <v>38278</v>
      </c>
    </row>
    <row r="22" spans="1:8" ht="12.75">
      <c r="A22" s="1">
        <v>38281</v>
      </c>
      <c r="B22" t="s">
        <v>126</v>
      </c>
      <c r="C22">
        <v>39</v>
      </c>
      <c r="D22">
        <v>54</v>
      </c>
      <c r="E22">
        <f t="shared" si="0"/>
        <v>37.2</v>
      </c>
      <c r="F22">
        <f t="shared" si="1"/>
        <v>53.6</v>
      </c>
      <c r="G22">
        <f t="shared" si="2"/>
        <v>16.4</v>
      </c>
      <c r="H22" s="1">
        <v>38279</v>
      </c>
    </row>
    <row r="23" spans="1:8" ht="12.75">
      <c r="A23" s="1">
        <v>38289</v>
      </c>
      <c r="B23" t="s">
        <v>6</v>
      </c>
      <c r="C23">
        <v>33</v>
      </c>
      <c r="D23">
        <v>52</v>
      </c>
      <c r="E23">
        <f t="shared" si="0"/>
        <v>36.8</v>
      </c>
      <c r="F23">
        <f t="shared" si="1"/>
        <v>53.6</v>
      </c>
      <c r="G23">
        <f t="shared" si="2"/>
        <v>16.800000000000004</v>
      </c>
      <c r="H23" s="1">
        <v>38285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C8" sqref="C8"/>
    </sheetView>
  </sheetViews>
  <sheetFormatPr defaultColWidth="11.00390625" defaultRowHeight="12.75"/>
  <sheetData>
    <row r="3" spans="3:7" ht="12.75">
      <c r="C3" s="3" t="s">
        <v>50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38120</v>
      </c>
      <c r="B5" t="s">
        <v>169</v>
      </c>
      <c r="C5">
        <v>42</v>
      </c>
      <c r="D5">
        <v>48</v>
      </c>
      <c r="E5">
        <f aca="true" t="shared" si="0" ref="E5:F12">AVERAGE(C1:C5)</f>
        <v>42</v>
      </c>
      <c r="F5">
        <f t="shared" si="0"/>
        <v>48</v>
      </c>
      <c r="G5">
        <f aca="true" t="shared" si="1" ref="G5:G12">F5-E5</f>
        <v>6</v>
      </c>
      <c r="H5" s="1">
        <v>37987</v>
      </c>
    </row>
    <row r="6" spans="1:8" ht="12.75">
      <c r="A6" s="1">
        <v>38051</v>
      </c>
      <c r="B6" t="s">
        <v>126</v>
      </c>
      <c r="C6">
        <v>40</v>
      </c>
      <c r="D6">
        <v>53</v>
      </c>
      <c r="E6">
        <f t="shared" si="0"/>
        <v>41</v>
      </c>
      <c r="F6">
        <f t="shared" si="0"/>
        <v>50.5</v>
      </c>
      <c r="G6">
        <f t="shared" si="1"/>
        <v>9.5</v>
      </c>
      <c r="H6" s="1">
        <v>38044</v>
      </c>
    </row>
    <row r="7" spans="1:8" ht="12.75">
      <c r="A7" s="1">
        <v>38120</v>
      </c>
      <c r="B7" t="s">
        <v>236</v>
      </c>
      <c r="C7">
        <v>37</v>
      </c>
      <c r="D7">
        <v>51</v>
      </c>
      <c r="E7">
        <f t="shared" si="0"/>
        <v>39.666666666666664</v>
      </c>
      <c r="F7">
        <f t="shared" si="0"/>
        <v>50.666666666666664</v>
      </c>
      <c r="G7">
        <f t="shared" si="1"/>
        <v>11</v>
      </c>
      <c r="H7" s="1">
        <v>38046</v>
      </c>
    </row>
    <row r="8" spans="1:8" ht="12.75">
      <c r="A8" s="1">
        <v>38176</v>
      </c>
      <c r="B8" t="s">
        <v>239</v>
      </c>
      <c r="C8">
        <v>30</v>
      </c>
      <c r="D8">
        <v>54</v>
      </c>
      <c r="E8">
        <f t="shared" si="0"/>
        <v>37.25</v>
      </c>
      <c r="F8">
        <f t="shared" si="0"/>
        <v>51.5</v>
      </c>
      <c r="G8">
        <f t="shared" si="1"/>
        <v>14.25</v>
      </c>
      <c r="H8" s="1">
        <v>38167</v>
      </c>
    </row>
    <row r="9" spans="1:8" ht="12.75">
      <c r="A9" s="1">
        <v>38219</v>
      </c>
      <c r="B9" t="s">
        <v>169</v>
      </c>
      <c r="C9">
        <v>43</v>
      </c>
      <c r="D9">
        <v>53</v>
      </c>
      <c r="E9">
        <f t="shared" si="0"/>
        <v>38.4</v>
      </c>
      <c r="F9">
        <f t="shared" si="0"/>
        <v>51.8</v>
      </c>
      <c r="G9">
        <f t="shared" si="1"/>
        <v>13.399999999999999</v>
      </c>
      <c r="H9" s="1">
        <v>38216</v>
      </c>
    </row>
    <row r="10" spans="1:8" ht="12.75">
      <c r="A10" s="1">
        <v>38239</v>
      </c>
      <c r="B10" t="s">
        <v>236</v>
      </c>
      <c r="C10">
        <v>38</v>
      </c>
      <c r="D10">
        <v>52</v>
      </c>
      <c r="E10">
        <f t="shared" si="0"/>
        <v>37.6</v>
      </c>
      <c r="F10">
        <f t="shared" si="0"/>
        <v>52.6</v>
      </c>
      <c r="G10">
        <f t="shared" si="1"/>
        <v>15</v>
      </c>
      <c r="H10" s="1">
        <v>38234</v>
      </c>
    </row>
    <row r="11" spans="1:8" ht="12.75">
      <c r="A11" s="1">
        <v>38249</v>
      </c>
      <c r="B11" t="s">
        <v>59</v>
      </c>
      <c r="C11">
        <v>39</v>
      </c>
      <c r="D11">
        <v>54</v>
      </c>
      <c r="E11">
        <f t="shared" si="0"/>
        <v>37.4</v>
      </c>
      <c r="F11">
        <f t="shared" si="0"/>
        <v>52.8</v>
      </c>
      <c r="G11">
        <f t="shared" si="1"/>
        <v>15.399999999999999</v>
      </c>
      <c r="H11" s="1">
        <v>38248</v>
      </c>
    </row>
    <row r="12" spans="1:8" ht="12.75">
      <c r="A12" s="1">
        <v>38254</v>
      </c>
      <c r="B12" t="s">
        <v>169</v>
      </c>
      <c r="C12">
        <v>37</v>
      </c>
      <c r="D12">
        <v>60</v>
      </c>
      <c r="E12">
        <f t="shared" si="0"/>
        <v>37.4</v>
      </c>
      <c r="F12">
        <f t="shared" si="0"/>
        <v>54.6</v>
      </c>
      <c r="G12">
        <f t="shared" si="1"/>
        <v>17.200000000000003</v>
      </c>
      <c r="H12" s="1">
        <v>38252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C23" sqref="C23"/>
    </sheetView>
  </sheetViews>
  <sheetFormatPr defaultColWidth="11.00390625" defaultRowHeight="12.75"/>
  <sheetData>
    <row r="3" spans="3:7" ht="12.75">
      <c r="C3" s="3" t="s">
        <v>163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242</v>
      </c>
    </row>
    <row r="5" spans="1:8" ht="12.75">
      <c r="A5" s="1">
        <v>37954</v>
      </c>
      <c r="B5" t="s">
        <v>126</v>
      </c>
      <c r="C5">
        <v>47</v>
      </c>
      <c r="D5">
        <v>44</v>
      </c>
      <c r="E5">
        <f aca="true" t="shared" si="0" ref="E5:E27">AVERAGE(C1:C5)</f>
        <v>47</v>
      </c>
      <c r="F5">
        <f aca="true" t="shared" si="1" ref="F5:F27">AVERAGE(D1:D5)</f>
        <v>44</v>
      </c>
      <c r="G5">
        <f aca="true" t="shared" si="2" ref="G5:G27">F5-E5</f>
        <v>-3</v>
      </c>
      <c r="H5" s="1">
        <v>37935</v>
      </c>
    </row>
    <row r="6" spans="1:8" ht="12.75">
      <c r="A6" s="1">
        <v>38092</v>
      </c>
      <c r="B6" t="s">
        <v>126</v>
      </c>
      <c r="C6">
        <v>50</v>
      </c>
      <c r="D6">
        <v>45</v>
      </c>
      <c r="E6">
        <f t="shared" si="0"/>
        <v>48.5</v>
      </c>
      <c r="F6">
        <f t="shared" si="1"/>
        <v>44.5</v>
      </c>
      <c r="G6">
        <f t="shared" si="2"/>
        <v>-4</v>
      </c>
      <c r="H6" s="1">
        <v>38006</v>
      </c>
    </row>
    <row r="7" spans="1:8" ht="12.75">
      <c r="A7" s="1">
        <v>38092</v>
      </c>
      <c r="B7" t="s">
        <v>126</v>
      </c>
      <c r="C7">
        <v>46</v>
      </c>
      <c r="D7">
        <v>48</v>
      </c>
      <c r="E7">
        <f t="shared" si="0"/>
        <v>47.666666666666664</v>
      </c>
      <c r="F7">
        <f t="shared" si="1"/>
        <v>45.666666666666664</v>
      </c>
      <c r="G7">
        <f t="shared" si="2"/>
        <v>-2</v>
      </c>
      <c r="H7" s="1">
        <v>38033</v>
      </c>
    </row>
    <row r="8" spans="1:8" ht="12.75">
      <c r="A8" s="1">
        <v>38051</v>
      </c>
      <c r="B8" t="s">
        <v>126</v>
      </c>
      <c r="C8">
        <v>42</v>
      </c>
      <c r="D8">
        <v>49</v>
      </c>
      <c r="E8">
        <f t="shared" si="0"/>
        <v>46.25</v>
      </c>
      <c r="F8">
        <f t="shared" si="1"/>
        <v>46.5</v>
      </c>
      <c r="G8">
        <f t="shared" si="2"/>
        <v>0.25</v>
      </c>
      <c r="H8" s="1">
        <v>38044</v>
      </c>
    </row>
    <row r="9" spans="1:8" ht="12.75">
      <c r="A9" s="1">
        <v>38092</v>
      </c>
      <c r="B9" t="s">
        <v>126</v>
      </c>
      <c r="C9">
        <v>47</v>
      </c>
      <c r="D9">
        <v>47</v>
      </c>
      <c r="E9">
        <f t="shared" si="0"/>
        <v>46.4</v>
      </c>
      <c r="F9">
        <f t="shared" si="1"/>
        <v>46.6</v>
      </c>
      <c r="G9">
        <f t="shared" si="2"/>
        <v>0.20000000000000284</v>
      </c>
      <c r="H9" s="1">
        <v>38061</v>
      </c>
    </row>
    <row r="10" spans="1:8" ht="12.75">
      <c r="A10" s="1">
        <v>38092</v>
      </c>
      <c r="B10" t="s">
        <v>169</v>
      </c>
      <c r="C10">
        <v>42</v>
      </c>
      <c r="D10">
        <v>49</v>
      </c>
      <c r="E10">
        <f t="shared" si="0"/>
        <v>45.4</v>
      </c>
      <c r="F10">
        <f t="shared" si="1"/>
        <v>47.6</v>
      </c>
      <c r="G10">
        <f t="shared" si="2"/>
        <v>2.200000000000003</v>
      </c>
      <c r="H10" s="1">
        <v>38063</v>
      </c>
    </row>
    <row r="11" spans="1:8" ht="12.75">
      <c r="A11" s="1">
        <v>38094</v>
      </c>
      <c r="B11" t="s">
        <v>126</v>
      </c>
      <c r="C11">
        <v>46</v>
      </c>
      <c r="D11">
        <v>48</v>
      </c>
      <c r="E11">
        <f t="shared" si="0"/>
        <v>44.6</v>
      </c>
      <c r="F11">
        <f t="shared" si="1"/>
        <v>48.2</v>
      </c>
      <c r="G11">
        <f t="shared" si="2"/>
        <v>3.6000000000000014</v>
      </c>
      <c r="H11" s="1">
        <v>38089</v>
      </c>
    </row>
    <row r="12" spans="1:8" ht="12.75">
      <c r="A12" s="1">
        <v>38105</v>
      </c>
      <c r="B12" t="s">
        <v>169</v>
      </c>
      <c r="C12">
        <v>39</v>
      </c>
      <c r="D12">
        <v>51</v>
      </c>
      <c r="E12">
        <f t="shared" si="0"/>
        <v>43.2</v>
      </c>
      <c r="F12">
        <f t="shared" si="1"/>
        <v>48.8</v>
      </c>
      <c r="G12">
        <f t="shared" si="2"/>
        <v>5.599999999999994</v>
      </c>
      <c r="H12" s="1">
        <v>38099</v>
      </c>
    </row>
    <row r="13" spans="1:8" ht="12.75">
      <c r="A13" s="1">
        <v>38141</v>
      </c>
      <c r="B13" t="s">
        <v>126</v>
      </c>
      <c r="C13">
        <v>41</v>
      </c>
      <c r="D13">
        <v>46</v>
      </c>
      <c r="E13">
        <f t="shared" si="0"/>
        <v>43</v>
      </c>
      <c r="F13">
        <f t="shared" si="1"/>
        <v>48.2</v>
      </c>
      <c r="G13">
        <f t="shared" si="2"/>
        <v>5.200000000000003</v>
      </c>
      <c r="H13" s="1">
        <v>38124</v>
      </c>
    </row>
    <row r="14" spans="1:8" ht="12.75">
      <c r="A14" s="1">
        <v>38139</v>
      </c>
      <c r="B14" t="s">
        <v>169</v>
      </c>
      <c r="C14">
        <v>38</v>
      </c>
      <c r="D14">
        <v>51</v>
      </c>
      <c r="E14">
        <f t="shared" si="0"/>
        <v>41.2</v>
      </c>
      <c r="F14">
        <f t="shared" si="1"/>
        <v>49</v>
      </c>
      <c r="G14">
        <f t="shared" si="2"/>
        <v>7.799999999999997</v>
      </c>
      <c r="H14" s="1">
        <v>38135</v>
      </c>
    </row>
    <row r="15" spans="1:8" ht="12.75">
      <c r="A15" s="1">
        <v>38150</v>
      </c>
      <c r="B15" t="s">
        <v>144</v>
      </c>
      <c r="C15">
        <v>30</v>
      </c>
      <c r="D15">
        <v>53</v>
      </c>
      <c r="E15">
        <f t="shared" si="0"/>
        <v>38.8</v>
      </c>
      <c r="F15">
        <f t="shared" si="1"/>
        <v>49.8</v>
      </c>
      <c r="G15">
        <f t="shared" si="2"/>
        <v>11</v>
      </c>
      <c r="H15" s="1">
        <v>38147</v>
      </c>
    </row>
    <row r="16" spans="1:8" ht="12.75">
      <c r="A16" s="1">
        <v>38168</v>
      </c>
      <c r="B16" t="s">
        <v>126</v>
      </c>
      <c r="C16">
        <v>40</v>
      </c>
      <c r="D16">
        <v>53</v>
      </c>
      <c r="E16">
        <f t="shared" si="0"/>
        <v>37.6</v>
      </c>
      <c r="F16">
        <f t="shared" si="1"/>
        <v>50.8</v>
      </c>
      <c r="G16">
        <f t="shared" si="2"/>
        <v>13.199999999999996</v>
      </c>
      <c r="H16" s="1">
        <v>38167</v>
      </c>
    </row>
    <row r="17" spans="1:8" ht="12.75">
      <c r="A17" s="1">
        <v>38176</v>
      </c>
      <c r="B17" t="s">
        <v>239</v>
      </c>
      <c r="C17">
        <v>29</v>
      </c>
      <c r="D17">
        <v>54</v>
      </c>
      <c r="E17">
        <f t="shared" si="0"/>
        <v>35.6</v>
      </c>
      <c r="F17">
        <f t="shared" si="1"/>
        <v>51.4</v>
      </c>
      <c r="G17">
        <f t="shared" si="2"/>
        <v>15.799999999999997</v>
      </c>
      <c r="H17" s="1">
        <v>38167</v>
      </c>
    </row>
    <row r="18" spans="1:8" ht="12.75">
      <c r="A18" s="1">
        <v>38169</v>
      </c>
      <c r="B18" t="s">
        <v>169</v>
      </c>
      <c r="C18">
        <v>33</v>
      </c>
      <c r="D18">
        <v>53</v>
      </c>
      <c r="E18">
        <f t="shared" si="0"/>
        <v>34</v>
      </c>
      <c r="F18">
        <f t="shared" si="1"/>
        <v>52.8</v>
      </c>
      <c r="G18">
        <f t="shared" si="2"/>
        <v>18.799999999999997</v>
      </c>
      <c r="H18" s="1">
        <v>38168</v>
      </c>
    </row>
    <row r="19" spans="1:8" ht="12.75">
      <c r="A19" s="1">
        <v>38203</v>
      </c>
      <c r="B19" t="s">
        <v>144</v>
      </c>
      <c r="C19">
        <v>38</v>
      </c>
      <c r="D19">
        <v>47</v>
      </c>
      <c r="E19">
        <f t="shared" si="0"/>
        <v>34</v>
      </c>
      <c r="F19">
        <f t="shared" si="1"/>
        <v>52</v>
      </c>
      <c r="G19">
        <f t="shared" si="2"/>
        <v>18</v>
      </c>
      <c r="H19" s="1">
        <v>38201</v>
      </c>
    </row>
    <row r="20" spans="1:8" ht="12.75">
      <c r="A20" s="1">
        <v>38206</v>
      </c>
      <c r="B20" t="s">
        <v>169</v>
      </c>
      <c r="C20">
        <v>38</v>
      </c>
      <c r="D20">
        <v>54</v>
      </c>
      <c r="E20">
        <f t="shared" si="0"/>
        <v>35.6</v>
      </c>
      <c r="F20">
        <f t="shared" si="1"/>
        <v>52.2</v>
      </c>
      <c r="G20">
        <f t="shared" si="2"/>
        <v>16.6</v>
      </c>
      <c r="H20" s="1">
        <v>38203</v>
      </c>
    </row>
    <row r="21" spans="1:8" ht="12.75">
      <c r="A21" s="1">
        <v>38253</v>
      </c>
      <c r="B21" t="s">
        <v>59</v>
      </c>
      <c r="C21">
        <v>39</v>
      </c>
      <c r="D21">
        <v>55</v>
      </c>
      <c r="E21">
        <f t="shared" si="0"/>
        <v>35.4</v>
      </c>
      <c r="F21">
        <f t="shared" si="1"/>
        <v>52.6</v>
      </c>
      <c r="G21">
        <f t="shared" si="2"/>
        <v>17.200000000000003</v>
      </c>
      <c r="H21" s="1">
        <v>38251</v>
      </c>
    </row>
    <row r="22" spans="1:8" ht="12.75">
      <c r="A22" s="1">
        <v>38254</v>
      </c>
      <c r="B22" t="s">
        <v>126</v>
      </c>
      <c r="C22">
        <v>39</v>
      </c>
      <c r="D22">
        <v>55</v>
      </c>
      <c r="E22">
        <f t="shared" si="0"/>
        <v>37.4</v>
      </c>
      <c r="F22">
        <f t="shared" si="1"/>
        <v>52.8</v>
      </c>
      <c r="G22">
        <f t="shared" si="2"/>
        <v>15.399999999999999</v>
      </c>
      <c r="H22" s="1">
        <v>38252</v>
      </c>
    </row>
    <row r="23" spans="1:8" ht="12.75">
      <c r="A23" s="1">
        <v>38255</v>
      </c>
      <c r="B23" t="s">
        <v>169</v>
      </c>
      <c r="C23">
        <v>38</v>
      </c>
      <c r="D23">
        <v>58</v>
      </c>
      <c r="E23">
        <f t="shared" si="0"/>
        <v>38.4</v>
      </c>
      <c r="F23">
        <f t="shared" si="1"/>
        <v>53.8</v>
      </c>
      <c r="G23">
        <f t="shared" si="2"/>
        <v>15.399999999999999</v>
      </c>
      <c r="H23" s="1">
        <v>38252</v>
      </c>
    </row>
    <row r="24" spans="1:8" ht="12.75">
      <c r="A24" s="1">
        <v>38275</v>
      </c>
      <c r="B24" t="s">
        <v>169</v>
      </c>
      <c r="C24">
        <v>34</v>
      </c>
      <c r="D24">
        <v>62</v>
      </c>
      <c r="E24">
        <f t="shared" si="0"/>
        <v>37.6</v>
      </c>
      <c r="F24">
        <f t="shared" si="1"/>
        <v>56.8</v>
      </c>
      <c r="G24">
        <f t="shared" si="2"/>
        <v>19.199999999999996</v>
      </c>
      <c r="H24" s="1">
        <v>38272</v>
      </c>
    </row>
    <row r="25" spans="1:11" ht="12.75">
      <c r="A25" s="1">
        <v>38275</v>
      </c>
      <c r="B25" t="s">
        <v>126</v>
      </c>
      <c r="C25">
        <v>35</v>
      </c>
      <c r="D25">
        <v>59</v>
      </c>
      <c r="E25">
        <f t="shared" si="0"/>
        <v>37</v>
      </c>
      <c r="F25">
        <f t="shared" si="1"/>
        <v>57.8</v>
      </c>
      <c r="G25">
        <f t="shared" si="2"/>
        <v>20.799999999999997</v>
      </c>
      <c r="H25" s="1">
        <v>38273</v>
      </c>
      <c r="I25">
        <f>AVERAGE(C24:C25)</f>
        <v>34.5</v>
      </c>
      <c r="J25">
        <f>AVERAGE(D24:D25)</f>
        <v>60.5</v>
      </c>
      <c r="K25">
        <f>J25-I25</f>
        <v>26</v>
      </c>
    </row>
    <row r="26" spans="1:8" ht="12.75">
      <c r="A26" s="1">
        <v>38284</v>
      </c>
      <c r="B26" t="s">
        <v>144</v>
      </c>
      <c r="C26">
        <v>34</v>
      </c>
      <c r="D26">
        <v>53</v>
      </c>
      <c r="E26">
        <f t="shared" si="0"/>
        <v>36</v>
      </c>
      <c r="F26">
        <f t="shared" si="1"/>
        <v>57.4</v>
      </c>
      <c r="G26">
        <f t="shared" si="2"/>
        <v>21.4</v>
      </c>
      <c r="H26" s="1">
        <v>38281</v>
      </c>
    </row>
    <row r="27" spans="1:8" ht="12.75">
      <c r="A27" s="1">
        <v>38289</v>
      </c>
      <c r="B27" t="s">
        <v>126</v>
      </c>
      <c r="C27">
        <v>39</v>
      </c>
      <c r="D27">
        <v>56</v>
      </c>
      <c r="E27">
        <f t="shared" si="0"/>
        <v>36</v>
      </c>
      <c r="F27">
        <f t="shared" si="1"/>
        <v>57.6</v>
      </c>
      <c r="G27">
        <f t="shared" si="2"/>
        <v>21.6</v>
      </c>
      <c r="H27" s="1">
        <v>38287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K55"/>
  <sheetViews>
    <sheetView zoomScalePageLayoutView="0" workbookViewId="0" topLeftCell="A1">
      <pane ySplit="2600" topLeftCell="BM34" activePane="bottomLeft" state="split"/>
      <selection pane="topLeft" activeCell="H55" sqref="H55"/>
      <selection pane="bottomLeft" activeCell="C50" sqref="C50"/>
    </sheetView>
  </sheetViews>
  <sheetFormatPr defaultColWidth="11.00390625" defaultRowHeight="12.75"/>
  <sheetData>
    <row r="3" spans="3:7" ht="12.75">
      <c r="C3" s="3" t="s">
        <v>61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38091</v>
      </c>
      <c r="B5" t="s">
        <v>169</v>
      </c>
      <c r="C5">
        <v>39</v>
      </c>
      <c r="D5">
        <v>47</v>
      </c>
      <c r="E5">
        <f>AVERAGE(C1:C5)</f>
        <v>39</v>
      </c>
      <c r="F5">
        <f>AVERAGE(D1:D5)</f>
        <v>47</v>
      </c>
      <c r="G5">
        <f>F5-E5</f>
        <v>8</v>
      </c>
      <c r="H5" s="1">
        <v>38033</v>
      </c>
    </row>
    <row r="6" spans="1:8" ht="12.75">
      <c r="A6" s="1">
        <v>38051</v>
      </c>
      <c r="B6" t="s">
        <v>126</v>
      </c>
      <c r="C6">
        <v>45</v>
      </c>
      <c r="D6">
        <v>46</v>
      </c>
      <c r="E6">
        <f>AVERAGE(C2:C6)</f>
        <v>42</v>
      </c>
      <c r="F6">
        <f>AVERAGE(D2:D6)</f>
        <v>46.5</v>
      </c>
      <c r="G6">
        <f>F6-E6</f>
        <v>4.5</v>
      </c>
      <c r="H6" s="1">
        <v>38044</v>
      </c>
    </row>
    <row r="7" spans="1:8" ht="12.75">
      <c r="A7" s="1">
        <v>38091</v>
      </c>
      <c r="B7" t="s">
        <v>169</v>
      </c>
      <c r="C7">
        <v>44</v>
      </c>
      <c r="D7">
        <v>41</v>
      </c>
      <c r="E7">
        <f>AVERAGE(C3:C7)</f>
        <v>42.666666666666664</v>
      </c>
      <c r="F7">
        <f>AVERAGE(D3:D7)</f>
        <v>44.666666666666664</v>
      </c>
      <c r="G7">
        <f>F7-E7</f>
        <v>2</v>
      </c>
      <c r="H7" s="1">
        <v>38055</v>
      </c>
    </row>
    <row r="8" spans="1:8" ht="12.75">
      <c r="A8" s="1">
        <v>38077</v>
      </c>
      <c r="B8" t="s">
        <v>169</v>
      </c>
      <c r="C8">
        <v>43</v>
      </c>
      <c r="D8">
        <v>42</v>
      </c>
      <c r="E8">
        <f>AVERAGE(C4:C8)</f>
        <v>42.75</v>
      </c>
      <c r="F8">
        <f>AVERAGE(D4:D8)</f>
        <v>44</v>
      </c>
      <c r="G8">
        <f>F8-E8</f>
        <v>1.25</v>
      </c>
      <c r="H8" s="1">
        <v>38070</v>
      </c>
    </row>
    <row r="9" spans="1:8" ht="12.75">
      <c r="A9" s="1">
        <v>38091</v>
      </c>
      <c r="B9" t="s">
        <v>205</v>
      </c>
      <c r="C9">
        <v>41</v>
      </c>
      <c r="D9">
        <v>43</v>
      </c>
      <c r="E9">
        <f>AVERAGE(C5:C9)</f>
        <v>42.4</v>
      </c>
      <c r="F9">
        <f>AVERAGE(D5:D9)</f>
        <v>43.8</v>
      </c>
      <c r="G9">
        <f>F9-E9</f>
        <v>1.3999999999999986</v>
      </c>
      <c r="H9" s="1">
        <v>38084</v>
      </c>
    </row>
    <row r="10" spans="1:8" ht="12.75">
      <c r="A10" s="1">
        <v>38117</v>
      </c>
      <c r="B10" t="s">
        <v>169</v>
      </c>
      <c r="C10">
        <v>45</v>
      </c>
      <c r="D10">
        <v>44</v>
      </c>
      <c r="E10">
        <f>AVERAGE(C6:C10)</f>
        <v>43.6</v>
      </c>
      <c r="F10">
        <f>AVERAGE(D6:D10)</f>
        <v>43.2</v>
      </c>
      <c r="G10">
        <f>F10-E10</f>
        <v>-0.3999999999999986</v>
      </c>
      <c r="H10" s="1">
        <v>38113</v>
      </c>
    </row>
    <row r="11" spans="1:8" ht="12.75">
      <c r="A11" s="1">
        <v>38136</v>
      </c>
      <c r="B11" t="s">
        <v>205</v>
      </c>
      <c r="C11">
        <v>44</v>
      </c>
      <c r="D11">
        <v>40</v>
      </c>
      <c r="E11">
        <f>AVERAGE(C7:C11)</f>
        <v>43.4</v>
      </c>
      <c r="F11">
        <f>AVERAGE(D7:D11)</f>
        <v>42</v>
      </c>
      <c r="G11">
        <f>F11-E11</f>
        <v>-1.3999999999999986</v>
      </c>
      <c r="H11" s="1">
        <v>38128</v>
      </c>
    </row>
    <row r="12" spans="1:8" ht="12.75">
      <c r="A12" s="1">
        <v>38135</v>
      </c>
      <c r="B12" t="s">
        <v>126</v>
      </c>
      <c r="C12">
        <v>41</v>
      </c>
      <c r="D12">
        <v>37</v>
      </c>
      <c r="E12">
        <f>AVERAGE(C8:C12)</f>
        <v>42.8</v>
      </c>
      <c r="F12">
        <f>AVERAGE(D8:D12)</f>
        <v>41.2</v>
      </c>
      <c r="G12">
        <f>F12-E12</f>
        <v>-1.5999999999999943</v>
      </c>
      <c r="H12" s="1">
        <v>38133</v>
      </c>
    </row>
    <row r="13" spans="1:8" ht="12.75">
      <c r="A13" s="1">
        <v>38149</v>
      </c>
      <c r="B13" t="s">
        <v>169</v>
      </c>
      <c r="C13">
        <v>42</v>
      </c>
      <c r="D13">
        <v>45</v>
      </c>
      <c r="E13">
        <f>AVERAGE(C9:C13)</f>
        <v>42.6</v>
      </c>
      <c r="F13">
        <f>AVERAGE(D9:D13)</f>
        <v>41.8</v>
      </c>
      <c r="G13">
        <f>F13-E13</f>
        <v>-0.8000000000000043</v>
      </c>
      <c r="H13" s="1">
        <v>38146</v>
      </c>
    </row>
    <row r="14" spans="1:8" ht="12.75">
      <c r="A14" s="1">
        <v>38162</v>
      </c>
      <c r="B14" t="s">
        <v>93</v>
      </c>
      <c r="C14">
        <v>39</v>
      </c>
      <c r="D14">
        <v>48</v>
      </c>
      <c r="E14">
        <f>AVERAGE(C10:C14)</f>
        <v>42.2</v>
      </c>
      <c r="F14">
        <f>AVERAGE(D10:D14)</f>
        <v>42.8</v>
      </c>
      <c r="G14">
        <f>F14-E14</f>
        <v>0.5999999999999943</v>
      </c>
      <c r="H14" s="1">
        <v>38159</v>
      </c>
    </row>
    <row r="15" spans="1:8" ht="12.75">
      <c r="A15" s="1">
        <v>38164</v>
      </c>
      <c r="B15" t="s">
        <v>280</v>
      </c>
      <c r="C15">
        <v>42</v>
      </c>
      <c r="D15">
        <v>48</v>
      </c>
      <c r="E15">
        <f>AVERAGE(C11:C15)</f>
        <v>41.6</v>
      </c>
      <c r="F15">
        <f>AVERAGE(D11:D15)</f>
        <v>43.6</v>
      </c>
      <c r="G15">
        <f>F15-E15</f>
        <v>2</v>
      </c>
      <c r="H15" s="1">
        <v>38163</v>
      </c>
    </row>
    <row r="16" spans="1:8" ht="12.75">
      <c r="A16" s="1">
        <v>38176</v>
      </c>
      <c r="B16" t="s">
        <v>239</v>
      </c>
      <c r="C16">
        <v>33</v>
      </c>
      <c r="D16">
        <v>47</v>
      </c>
      <c r="E16">
        <f>AVERAGE(C12:C16)</f>
        <v>39.4</v>
      </c>
      <c r="F16">
        <f>AVERAGE(D12:D16)</f>
        <v>45</v>
      </c>
      <c r="G16">
        <f>F16-E16</f>
        <v>5.600000000000001</v>
      </c>
      <c r="H16" s="1">
        <v>38167</v>
      </c>
    </row>
    <row r="17" spans="1:8" ht="12.75">
      <c r="A17" s="1">
        <v>38182</v>
      </c>
      <c r="B17" t="s">
        <v>169</v>
      </c>
      <c r="C17">
        <v>39</v>
      </c>
      <c r="D17">
        <v>47</v>
      </c>
      <c r="E17">
        <f>AVERAGE(C13:C17)</f>
        <v>39</v>
      </c>
      <c r="F17">
        <f>AVERAGE(D13:D17)</f>
        <v>47</v>
      </c>
      <c r="G17">
        <f>F17-E17</f>
        <v>8</v>
      </c>
      <c r="H17" s="1">
        <v>38177</v>
      </c>
    </row>
    <row r="18" spans="1:8" ht="12.75">
      <c r="A18" s="1">
        <v>38190</v>
      </c>
      <c r="B18" t="s">
        <v>162</v>
      </c>
      <c r="C18">
        <v>41</v>
      </c>
      <c r="D18">
        <v>43</v>
      </c>
      <c r="E18">
        <f>AVERAGE(C14:C18)</f>
        <v>38.8</v>
      </c>
      <c r="F18">
        <f>AVERAGE(D14:D18)</f>
        <v>46.6</v>
      </c>
      <c r="G18">
        <f>F18-E18</f>
        <v>7.800000000000004</v>
      </c>
      <c r="H18" s="1">
        <v>38182</v>
      </c>
    </row>
    <row r="19" spans="1:8" ht="12.75">
      <c r="A19" s="1">
        <v>38192</v>
      </c>
      <c r="B19" t="s">
        <v>280</v>
      </c>
      <c r="C19">
        <v>42</v>
      </c>
      <c r="D19">
        <v>46</v>
      </c>
      <c r="E19">
        <f>AVERAGE(C15:C19)</f>
        <v>39.4</v>
      </c>
      <c r="F19">
        <f>AVERAGE(D15:D19)</f>
        <v>46.2</v>
      </c>
      <c r="G19">
        <f>F19-E19</f>
        <v>6.800000000000004</v>
      </c>
      <c r="H19" s="1">
        <v>38189</v>
      </c>
    </row>
    <row r="20" spans="1:8" ht="12.75">
      <c r="A20" s="1">
        <v>38198</v>
      </c>
      <c r="B20" t="s">
        <v>93</v>
      </c>
      <c r="C20">
        <v>43</v>
      </c>
      <c r="D20">
        <v>46</v>
      </c>
      <c r="E20">
        <f>AVERAGE(C16:C20)</f>
        <v>39.6</v>
      </c>
      <c r="F20">
        <f>AVERAGE(D16:D20)</f>
        <v>45.8</v>
      </c>
      <c r="G20">
        <f>F20-E20</f>
        <v>6.199999999999996</v>
      </c>
      <c r="H20" s="1">
        <v>38194</v>
      </c>
    </row>
    <row r="21" spans="1:8" ht="12.75">
      <c r="A21" s="1">
        <v>38207</v>
      </c>
      <c r="B21" t="s">
        <v>169</v>
      </c>
      <c r="C21">
        <v>45</v>
      </c>
      <c r="D21">
        <v>49</v>
      </c>
      <c r="E21">
        <f>AVERAGE(C17:C21)</f>
        <v>42</v>
      </c>
      <c r="F21">
        <f>AVERAGE(D17:D21)</f>
        <v>46.2</v>
      </c>
      <c r="G21">
        <f>F21-E21</f>
        <v>4.200000000000003</v>
      </c>
      <c r="H21" s="1">
        <v>38205</v>
      </c>
    </row>
    <row r="22" spans="1:8" ht="12.75">
      <c r="A22" s="1">
        <v>38221</v>
      </c>
      <c r="B22" t="s">
        <v>41</v>
      </c>
      <c r="C22">
        <v>37</v>
      </c>
      <c r="D22">
        <v>46</v>
      </c>
      <c r="E22">
        <f>AVERAGE(C18:C22)</f>
        <v>41.6</v>
      </c>
      <c r="F22">
        <f>AVERAGE(D18:D22)</f>
        <v>46</v>
      </c>
      <c r="G22">
        <f>F22-E22</f>
        <v>4.399999999999999</v>
      </c>
      <c r="H22" s="1">
        <v>38217</v>
      </c>
    </row>
    <row r="23" spans="1:8" ht="12.75">
      <c r="A23" s="1">
        <v>38220</v>
      </c>
      <c r="B23" t="s">
        <v>133</v>
      </c>
      <c r="C23">
        <v>39</v>
      </c>
      <c r="D23">
        <v>46</v>
      </c>
      <c r="E23">
        <f>AVERAGE(C19:C23)</f>
        <v>41.2</v>
      </c>
      <c r="F23">
        <f>AVERAGE(D19:D23)</f>
        <v>46.6</v>
      </c>
      <c r="G23">
        <f>F23-E23</f>
        <v>5.399999999999999</v>
      </c>
      <c r="H23" s="1">
        <v>38218</v>
      </c>
    </row>
    <row r="24" spans="1:8" ht="12.75">
      <c r="A24" s="1">
        <v>38223</v>
      </c>
      <c r="B24" t="s">
        <v>162</v>
      </c>
      <c r="C24">
        <v>41</v>
      </c>
      <c r="D24">
        <v>43</v>
      </c>
      <c r="E24">
        <f>AVERAGE(C20:C24)</f>
        <v>41</v>
      </c>
      <c r="F24">
        <f>AVERAGE(D20:D24)</f>
        <v>46</v>
      </c>
      <c r="G24">
        <f>F24-E24</f>
        <v>5</v>
      </c>
      <c r="H24" s="1">
        <v>38219</v>
      </c>
    </row>
    <row r="25" spans="1:8" ht="12.75">
      <c r="A25" s="1">
        <v>38238</v>
      </c>
      <c r="B25" t="s">
        <v>93</v>
      </c>
      <c r="C25">
        <v>46</v>
      </c>
      <c r="D25">
        <v>47</v>
      </c>
      <c r="E25">
        <f>AVERAGE(C21:C25)</f>
        <v>41.6</v>
      </c>
      <c r="F25">
        <f>AVERAGE(D21:D25)</f>
        <v>46.2</v>
      </c>
      <c r="G25">
        <f>F25-E25</f>
        <v>4.600000000000001</v>
      </c>
      <c r="H25" s="1">
        <v>38236</v>
      </c>
    </row>
    <row r="26" spans="1:8" ht="12.75">
      <c r="A26" s="1">
        <v>38239</v>
      </c>
      <c r="B26" t="s">
        <v>103</v>
      </c>
      <c r="C26">
        <v>44</v>
      </c>
      <c r="D26">
        <v>45</v>
      </c>
      <c r="E26">
        <f>AVERAGE(C22:C26)</f>
        <v>41.4</v>
      </c>
      <c r="F26">
        <f>AVERAGE(D22:D26)</f>
        <v>45.4</v>
      </c>
      <c r="G26">
        <f>F26-E26</f>
        <v>4</v>
      </c>
      <c r="H26" s="1">
        <v>38236</v>
      </c>
    </row>
    <row r="27" spans="1:8" ht="12.75">
      <c r="A27" s="1">
        <v>38240</v>
      </c>
      <c r="B27" t="s">
        <v>109</v>
      </c>
      <c r="C27">
        <v>42</v>
      </c>
      <c r="D27">
        <v>45</v>
      </c>
      <c r="E27">
        <f>AVERAGE(C23:C27)</f>
        <v>42.4</v>
      </c>
      <c r="F27">
        <f>AVERAGE(D23:D27)</f>
        <v>45.2</v>
      </c>
      <c r="G27">
        <f>F27-E27</f>
        <v>2.8000000000000043</v>
      </c>
      <c r="H27" s="1">
        <v>38238</v>
      </c>
    </row>
    <row r="28" spans="1:8" ht="12.75">
      <c r="A28" s="1">
        <v>38241</v>
      </c>
      <c r="B28" t="s">
        <v>289</v>
      </c>
      <c r="C28">
        <v>45</v>
      </c>
      <c r="D28">
        <v>44</v>
      </c>
      <c r="E28">
        <f>AVERAGE(C24:C28)</f>
        <v>43.6</v>
      </c>
      <c r="F28">
        <f>AVERAGE(D24:D28)</f>
        <v>44.8</v>
      </c>
      <c r="G28">
        <f>F28-E28</f>
        <v>1.1999999999999957</v>
      </c>
      <c r="H28" s="1">
        <v>38239</v>
      </c>
    </row>
    <row r="29" spans="1:8" ht="12.75">
      <c r="A29" s="1">
        <v>38241</v>
      </c>
      <c r="B29" t="s">
        <v>169</v>
      </c>
      <c r="C29">
        <v>46</v>
      </c>
      <c r="D29">
        <v>51</v>
      </c>
      <c r="E29">
        <f>AVERAGE(C25:C29)</f>
        <v>44.6</v>
      </c>
      <c r="F29">
        <f>AVERAGE(D25:D29)</f>
        <v>46.4</v>
      </c>
      <c r="G29">
        <f>F29-E29</f>
        <v>1.7999999999999972</v>
      </c>
      <c r="H29" s="1">
        <v>38239</v>
      </c>
    </row>
    <row r="30" spans="1:8" ht="12.75">
      <c r="A30" s="1">
        <v>38243</v>
      </c>
      <c r="B30" t="s">
        <v>41</v>
      </c>
      <c r="C30">
        <v>43.3</v>
      </c>
      <c r="D30">
        <v>49</v>
      </c>
      <c r="E30">
        <f>AVERAGE(C26:C30)</f>
        <v>44.06</v>
      </c>
      <c r="F30">
        <f>AVERAGE(D26:D30)</f>
        <v>46.8</v>
      </c>
      <c r="G30">
        <f>F30-E30</f>
        <v>2.739999999999995</v>
      </c>
      <c r="H30" s="1">
        <v>38241</v>
      </c>
    </row>
    <row r="31" spans="1:8" ht="12.75">
      <c r="A31" s="1">
        <v>38248</v>
      </c>
      <c r="B31" t="s">
        <v>26</v>
      </c>
      <c r="C31">
        <v>44</v>
      </c>
      <c r="D31">
        <v>48</v>
      </c>
      <c r="E31">
        <f>AVERAGE(C27:C31)</f>
        <v>44.06</v>
      </c>
      <c r="F31">
        <f>AVERAGE(D27:D31)</f>
        <v>47.4</v>
      </c>
      <c r="G31">
        <f>F31-E31</f>
        <v>3.3399999999999963</v>
      </c>
      <c r="H31" s="1">
        <v>38246</v>
      </c>
    </row>
    <row r="32" spans="1:8" ht="12.75">
      <c r="A32" s="1">
        <v>38249</v>
      </c>
      <c r="B32" t="s">
        <v>57</v>
      </c>
      <c r="C32">
        <v>43</v>
      </c>
      <c r="D32">
        <v>52</v>
      </c>
      <c r="E32">
        <f>AVERAGE(C28:C32)</f>
        <v>44.260000000000005</v>
      </c>
      <c r="F32">
        <f>AVERAGE(D28:D32)</f>
        <v>48.8</v>
      </c>
      <c r="G32">
        <f>F32-E32</f>
        <v>4.539999999999992</v>
      </c>
      <c r="H32" s="1">
        <v>38246</v>
      </c>
    </row>
    <row r="33" spans="1:8" ht="12.75">
      <c r="A33" s="1">
        <v>38249</v>
      </c>
      <c r="B33" t="s">
        <v>162</v>
      </c>
      <c r="C33">
        <v>42</v>
      </c>
      <c r="D33">
        <v>43</v>
      </c>
      <c r="E33">
        <f>AVERAGE(C29:C33)</f>
        <v>43.660000000000004</v>
      </c>
      <c r="F33">
        <f>AVERAGE(D29:D33)</f>
        <v>48.6</v>
      </c>
      <c r="G33">
        <f>F33-E33</f>
        <v>4.939999999999998</v>
      </c>
      <c r="H33" s="1">
        <v>38246</v>
      </c>
    </row>
    <row r="34" spans="1:8" ht="12.75">
      <c r="A34" s="1">
        <v>38249</v>
      </c>
      <c r="B34" t="s">
        <v>59</v>
      </c>
      <c r="C34">
        <v>46</v>
      </c>
      <c r="D34">
        <v>48</v>
      </c>
      <c r="E34">
        <f>AVERAGE(C30:C34)</f>
        <v>43.660000000000004</v>
      </c>
      <c r="F34">
        <f>AVERAGE(D30:D34)</f>
        <v>48</v>
      </c>
      <c r="G34">
        <f>F34-E34</f>
        <v>4.339999999999996</v>
      </c>
      <c r="H34" s="1">
        <v>38248</v>
      </c>
    </row>
    <row r="35" spans="1:8" ht="12.75">
      <c r="A35" s="1">
        <v>38254</v>
      </c>
      <c r="B35" t="s">
        <v>173</v>
      </c>
      <c r="C35">
        <v>46</v>
      </c>
      <c r="D35">
        <v>43</v>
      </c>
      <c r="E35">
        <f>AVERAGE(C31:C35)</f>
        <v>44.2</v>
      </c>
      <c r="F35">
        <f>AVERAGE(D31:D35)</f>
        <v>46.8</v>
      </c>
      <c r="G35">
        <f>F35-E35</f>
        <v>2.5999999999999943</v>
      </c>
      <c r="H35" s="1">
        <v>38249</v>
      </c>
    </row>
    <row r="36" spans="1:8" ht="12.75">
      <c r="A36" s="1">
        <v>38252</v>
      </c>
      <c r="B36" t="s">
        <v>169</v>
      </c>
      <c r="C36">
        <v>44</v>
      </c>
      <c r="D36">
        <v>51</v>
      </c>
      <c r="E36">
        <f>AVERAGE(C32:C36)</f>
        <v>44.2</v>
      </c>
      <c r="F36">
        <f>AVERAGE(D32:D36)</f>
        <v>47.4</v>
      </c>
      <c r="G36">
        <f>F36-E36</f>
        <v>3.1999999999999957</v>
      </c>
      <c r="H36" s="1">
        <v>38250</v>
      </c>
    </row>
    <row r="37" spans="1:8" ht="12.75">
      <c r="A37" s="1">
        <v>38252</v>
      </c>
      <c r="B37" t="s">
        <v>280</v>
      </c>
      <c r="C37">
        <v>44</v>
      </c>
      <c r="D37">
        <v>48</v>
      </c>
      <c r="E37">
        <f>AVERAGE(C33:C37)</f>
        <v>44.4</v>
      </c>
      <c r="F37">
        <f>AVERAGE(D33:D37)</f>
        <v>46.6</v>
      </c>
      <c r="G37">
        <f>F37-E37</f>
        <v>2.200000000000003</v>
      </c>
      <c r="H37" s="1">
        <v>38250</v>
      </c>
    </row>
    <row r="38" spans="1:8" ht="12.75">
      <c r="A38" s="1">
        <v>38255</v>
      </c>
      <c r="B38" t="s">
        <v>52</v>
      </c>
      <c r="C38">
        <v>39</v>
      </c>
      <c r="D38">
        <v>47</v>
      </c>
      <c r="E38">
        <f>AVERAGE(C34:C38)</f>
        <v>43.8</v>
      </c>
      <c r="F38">
        <f>AVERAGE(D34:D38)</f>
        <v>47.4</v>
      </c>
      <c r="G38">
        <f>F38-E38</f>
        <v>3.6000000000000014</v>
      </c>
      <c r="H38" s="1">
        <v>38251</v>
      </c>
    </row>
    <row r="39" spans="1:8" ht="12.75">
      <c r="A39" s="1">
        <v>38255</v>
      </c>
      <c r="B39" t="s">
        <v>162</v>
      </c>
      <c r="C39">
        <v>38</v>
      </c>
      <c r="D39">
        <v>48</v>
      </c>
      <c r="E39">
        <f>AVERAGE(C35:C39)</f>
        <v>42.2</v>
      </c>
      <c r="F39">
        <f>AVERAGE(D35:D39)</f>
        <v>47.4</v>
      </c>
      <c r="G39">
        <f>F39-E39</f>
        <v>5.199999999999996</v>
      </c>
      <c r="H39" s="1">
        <v>38251</v>
      </c>
    </row>
    <row r="40" spans="1:8" ht="12.75">
      <c r="A40" s="1">
        <v>38254</v>
      </c>
      <c r="B40" t="s">
        <v>109</v>
      </c>
      <c r="C40">
        <v>43</v>
      </c>
      <c r="D40">
        <v>49</v>
      </c>
      <c r="E40">
        <f>AVERAGE(C36:C40)</f>
        <v>41.6</v>
      </c>
      <c r="F40">
        <f>AVERAGE(D36:D40)</f>
        <v>48.6</v>
      </c>
      <c r="G40">
        <f>F40-E40</f>
        <v>7</v>
      </c>
      <c r="H40" s="1">
        <v>38252</v>
      </c>
    </row>
    <row r="41" spans="1:8" ht="12.75">
      <c r="A41" s="1">
        <v>38254</v>
      </c>
      <c r="B41" t="s">
        <v>175</v>
      </c>
      <c r="C41">
        <v>46</v>
      </c>
      <c r="D41">
        <v>46</v>
      </c>
      <c r="E41">
        <f>AVERAGE(C37:C41)</f>
        <v>42</v>
      </c>
      <c r="F41">
        <f>AVERAGE(D37:D41)</f>
        <v>47.6</v>
      </c>
      <c r="G41">
        <f>F41-E41</f>
        <v>5.600000000000001</v>
      </c>
      <c r="H41" s="1">
        <v>38252</v>
      </c>
    </row>
    <row r="42" spans="1:8" ht="12.75">
      <c r="A42" s="1">
        <v>38255</v>
      </c>
      <c r="B42" t="s">
        <v>103</v>
      </c>
      <c r="C42">
        <v>45</v>
      </c>
      <c r="D42">
        <v>48</v>
      </c>
      <c r="E42">
        <f>AVERAGE(C38:C42)</f>
        <v>42.2</v>
      </c>
      <c r="F42">
        <f>AVERAGE(D38:D42)</f>
        <v>47.6</v>
      </c>
      <c r="G42">
        <f>F42-E42</f>
        <v>5.399999999999999</v>
      </c>
      <c r="H42" s="1">
        <v>38253</v>
      </c>
    </row>
    <row r="43" spans="1:8" ht="12.75">
      <c r="A43" s="1">
        <v>38255</v>
      </c>
      <c r="B43" t="s">
        <v>133</v>
      </c>
      <c r="C43">
        <v>38</v>
      </c>
      <c r="D43">
        <v>51</v>
      </c>
      <c r="E43">
        <f>AVERAGE(C39:C43)</f>
        <v>42</v>
      </c>
      <c r="F43">
        <f>AVERAGE(D39:D43)</f>
        <v>48.4</v>
      </c>
      <c r="G43">
        <f>F43-E43</f>
        <v>6.399999999999999</v>
      </c>
      <c r="H43" s="1">
        <v>38253</v>
      </c>
    </row>
    <row r="44" spans="1:8" ht="12.75">
      <c r="A44" s="1">
        <v>38256</v>
      </c>
      <c r="B44" t="s">
        <v>54</v>
      </c>
      <c r="C44">
        <v>42</v>
      </c>
      <c r="D44">
        <v>49</v>
      </c>
      <c r="E44">
        <f>AVERAGE(C40:C44)</f>
        <v>42.8</v>
      </c>
      <c r="F44">
        <f>AVERAGE(D40:D44)</f>
        <v>48.6</v>
      </c>
      <c r="G44">
        <f>F44-E44</f>
        <v>5.800000000000004</v>
      </c>
      <c r="H44" s="1">
        <v>38253</v>
      </c>
    </row>
    <row r="45" spans="1:8" ht="12.75">
      <c r="A45" s="1">
        <v>38262</v>
      </c>
      <c r="B45" t="s">
        <v>93</v>
      </c>
      <c r="C45">
        <v>41</v>
      </c>
      <c r="D45">
        <v>51</v>
      </c>
      <c r="E45">
        <f>AVERAGE(C41:C45)</f>
        <v>42.4</v>
      </c>
      <c r="F45">
        <f>AVERAGE(D41:D45)</f>
        <v>49</v>
      </c>
      <c r="G45">
        <f>F45-E45</f>
        <v>6.600000000000001</v>
      </c>
      <c r="H45" s="1">
        <v>38260</v>
      </c>
    </row>
    <row r="46" spans="1:8" ht="12.75">
      <c r="A46" s="1">
        <v>38267</v>
      </c>
      <c r="B46" t="s">
        <v>167</v>
      </c>
      <c r="C46">
        <v>39</v>
      </c>
      <c r="D46">
        <v>44</v>
      </c>
      <c r="E46">
        <f>AVERAGE(C42:C46)</f>
        <v>41</v>
      </c>
      <c r="F46">
        <f>AVERAGE(D42:D46)</f>
        <v>48.6</v>
      </c>
      <c r="G46">
        <f>F46-E46</f>
        <v>7.600000000000001</v>
      </c>
      <c r="H46" s="1">
        <v>38263</v>
      </c>
    </row>
    <row r="47" spans="1:8" ht="12.75">
      <c r="A47" s="1">
        <v>38273</v>
      </c>
      <c r="B47" t="s">
        <v>280</v>
      </c>
      <c r="C47">
        <v>37</v>
      </c>
      <c r="D47">
        <v>55</v>
      </c>
      <c r="E47">
        <f>AVERAGE(C43:C47)</f>
        <v>39.4</v>
      </c>
      <c r="F47">
        <f>AVERAGE(D43:D47)</f>
        <v>50</v>
      </c>
      <c r="G47">
        <f>F47-E47</f>
        <v>10.600000000000001</v>
      </c>
      <c r="H47" s="1">
        <v>38266</v>
      </c>
    </row>
    <row r="48" spans="1:8" ht="12.75">
      <c r="A48" s="1">
        <v>38269</v>
      </c>
      <c r="B48" t="s">
        <v>169</v>
      </c>
      <c r="C48">
        <v>40</v>
      </c>
      <c r="D48">
        <v>56</v>
      </c>
      <c r="E48">
        <f>AVERAGE(C44:C48)</f>
        <v>39.8</v>
      </c>
      <c r="F48">
        <f>AVERAGE(D44:D48)</f>
        <v>51</v>
      </c>
      <c r="G48">
        <f>F48-E48</f>
        <v>11.200000000000003</v>
      </c>
      <c r="H48" s="1">
        <v>38267</v>
      </c>
    </row>
    <row r="49" spans="1:11" ht="12.75">
      <c r="A49" s="1">
        <v>38273</v>
      </c>
      <c r="B49" t="s">
        <v>280</v>
      </c>
      <c r="C49">
        <v>38</v>
      </c>
      <c r="D49">
        <v>54</v>
      </c>
      <c r="E49">
        <f>AVERAGE(C45:C49)</f>
        <v>39</v>
      </c>
      <c r="F49">
        <f>AVERAGE(D45:D49)</f>
        <v>52</v>
      </c>
      <c r="G49">
        <f>F49-E49</f>
        <v>13</v>
      </c>
      <c r="H49" s="1">
        <v>38271</v>
      </c>
      <c r="I49">
        <f>AVERAGE(C48:C49)</f>
        <v>39</v>
      </c>
      <c r="J49">
        <f>AVERAGE(D48:D49)</f>
        <v>55</v>
      </c>
      <c r="K49">
        <f>J49-I49</f>
        <v>16</v>
      </c>
    </row>
    <row r="50" spans="1:8" ht="12.75">
      <c r="A50" s="1">
        <v>38282</v>
      </c>
      <c r="B50" t="s">
        <v>296</v>
      </c>
      <c r="C50">
        <v>36</v>
      </c>
      <c r="D50">
        <v>58</v>
      </c>
      <c r="E50">
        <f>AVERAGE(C46:C50)</f>
        <v>38</v>
      </c>
      <c r="F50">
        <f>AVERAGE(D46:D50)</f>
        <v>53.4</v>
      </c>
      <c r="G50">
        <f>F50-E50</f>
        <v>15.399999999999999</v>
      </c>
      <c r="H50" s="1">
        <v>38281</v>
      </c>
    </row>
    <row r="51" spans="1:8" ht="12.75">
      <c r="A51" s="1">
        <v>38283</v>
      </c>
      <c r="B51" t="s">
        <v>162</v>
      </c>
      <c r="C51">
        <v>37</v>
      </c>
      <c r="D51">
        <v>51</v>
      </c>
      <c r="E51">
        <f>AVERAGE(C47:C51)</f>
        <v>37.6</v>
      </c>
      <c r="F51">
        <f>AVERAGE(D47:D51)</f>
        <v>54.8</v>
      </c>
      <c r="G51">
        <f>F51-E51</f>
        <v>17.199999999999996</v>
      </c>
      <c r="H51" s="1">
        <v>38281</v>
      </c>
    </row>
    <row r="52" spans="1:8" ht="12.75">
      <c r="A52" s="1">
        <v>38289</v>
      </c>
      <c r="B52" t="s">
        <v>169</v>
      </c>
      <c r="C52">
        <v>43</v>
      </c>
      <c r="D52">
        <v>53</v>
      </c>
      <c r="E52">
        <f>AVERAGE(C48:C52)</f>
        <v>38.8</v>
      </c>
      <c r="F52">
        <f>AVERAGE(D48:D52)</f>
        <v>54.4</v>
      </c>
      <c r="G52">
        <f>F52-E52</f>
        <v>15.600000000000001</v>
      </c>
      <c r="H52" s="1">
        <v>38287</v>
      </c>
    </row>
    <row r="53" spans="1:8" ht="12.75">
      <c r="A53" s="1">
        <v>38291</v>
      </c>
      <c r="B53" t="s">
        <v>162</v>
      </c>
      <c r="C53">
        <v>38</v>
      </c>
      <c r="D53">
        <v>50</v>
      </c>
      <c r="E53">
        <f>AVERAGE(C49:C53)</f>
        <v>38.4</v>
      </c>
      <c r="F53">
        <f>AVERAGE(D49:D53)</f>
        <v>53.2</v>
      </c>
      <c r="G53">
        <f>F53-E53</f>
        <v>14.800000000000004</v>
      </c>
      <c r="H53" s="1">
        <v>38287</v>
      </c>
    </row>
    <row r="54" spans="1:8" ht="12.75">
      <c r="A54" s="1">
        <v>38291</v>
      </c>
      <c r="B54" t="s">
        <v>103</v>
      </c>
      <c r="C54">
        <v>41</v>
      </c>
      <c r="D54">
        <v>54</v>
      </c>
      <c r="E54">
        <f>AVERAGE(C50:C54)</f>
        <v>39</v>
      </c>
      <c r="F54">
        <f>AVERAGE(D50:D54)</f>
        <v>53.2</v>
      </c>
      <c r="G54">
        <f>F54-E54</f>
        <v>14.200000000000003</v>
      </c>
      <c r="H54" s="1">
        <v>38288</v>
      </c>
    </row>
    <row r="55" spans="1:8" ht="12.75">
      <c r="A55" s="1">
        <v>38291</v>
      </c>
      <c r="B55" t="s">
        <v>93</v>
      </c>
      <c r="C55">
        <v>42</v>
      </c>
      <c r="D55">
        <v>55</v>
      </c>
      <c r="E55">
        <f>AVERAGE(C51:C55)</f>
        <v>40.2</v>
      </c>
      <c r="F55">
        <f>AVERAGE(D51:D55)</f>
        <v>52.6</v>
      </c>
      <c r="G55">
        <f>F55-E55</f>
        <v>12.399999999999999</v>
      </c>
      <c r="H55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H53"/>
  <sheetViews>
    <sheetView zoomScalePageLayoutView="0" workbookViewId="0" topLeftCell="A3">
      <selection activeCell="C51" sqref="C51"/>
    </sheetView>
  </sheetViews>
  <sheetFormatPr defaultColWidth="11.00390625" defaultRowHeight="12.75"/>
  <sheetData>
    <row r="3" spans="3:7" ht="12.75">
      <c r="C3" s="3" t="s">
        <v>137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37972</v>
      </c>
      <c r="B5" t="s">
        <v>126</v>
      </c>
      <c r="C5">
        <v>50</v>
      </c>
      <c r="D5">
        <v>41</v>
      </c>
      <c r="E5">
        <f>AVERAGE(C1:C5)</f>
        <v>50</v>
      </c>
      <c r="F5">
        <f>AVERAGE(D1:D5)</f>
        <v>41</v>
      </c>
      <c r="G5">
        <f>F5-E5</f>
        <v>-9</v>
      </c>
      <c r="H5" s="1">
        <v>37971</v>
      </c>
    </row>
    <row r="6" spans="1:8" ht="12.75">
      <c r="A6" s="1">
        <v>38067</v>
      </c>
      <c r="B6" t="s">
        <v>169</v>
      </c>
      <c r="C6">
        <v>38</v>
      </c>
      <c r="D6">
        <v>53</v>
      </c>
      <c r="E6">
        <f>AVERAGE(C2:C6)</f>
        <v>44</v>
      </c>
      <c r="F6">
        <f>AVERAGE(D2:D6)</f>
        <v>47</v>
      </c>
      <c r="G6">
        <f>F6-E6</f>
        <v>3</v>
      </c>
      <c r="H6" s="1">
        <v>38032</v>
      </c>
    </row>
    <row r="7" spans="1:8" ht="12.75">
      <c r="A7" s="1">
        <v>38067</v>
      </c>
      <c r="B7" t="s">
        <v>126</v>
      </c>
      <c r="C7">
        <v>40</v>
      </c>
      <c r="D7">
        <v>55</v>
      </c>
      <c r="E7">
        <f>AVERAGE(C3:C7)</f>
        <v>42.666666666666664</v>
      </c>
      <c r="F7">
        <f>AVERAGE(D3:D7)</f>
        <v>49.666666666666664</v>
      </c>
      <c r="G7">
        <f>F7-E7</f>
        <v>7</v>
      </c>
      <c r="H7" s="1">
        <v>38033</v>
      </c>
    </row>
    <row r="8" spans="1:8" ht="12.75">
      <c r="A8" s="1">
        <v>38051</v>
      </c>
      <c r="B8" t="s">
        <v>126</v>
      </c>
      <c r="C8">
        <v>42</v>
      </c>
      <c r="D8">
        <v>49</v>
      </c>
      <c r="E8">
        <f>AVERAGE(C4:C8)</f>
        <v>42.5</v>
      </c>
      <c r="F8">
        <f>AVERAGE(D4:D8)</f>
        <v>49.5</v>
      </c>
      <c r="G8">
        <f>F8-E8</f>
        <v>7</v>
      </c>
      <c r="H8" s="1">
        <v>38044</v>
      </c>
    </row>
    <row r="9" spans="1:8" ht="12.75">
      <c r="A9" s="1">
        <v>38067</v>
      </c>
      <c r="B9" t="s">
        <v>126</v>
      </c>
      <c r="C9">
        <v>47</v>
      </c>
      <c r="D9">
        <v>46</v>
      </c>
      <c r="E9">
        <f>AVERAGE(C5:C9)</f>
        <v>43.4</v>
      </c>
      <c r="F9">
        <f>AVERAGE(D5:D9)</f>
        <v>48.8</v>
      </c>
      <c r="G9">
        <f>F9-E9</f>
        <v>5.399999999999999</v>
      </c>
      <c r="H9" s="1">
        <v>38061</v>
      </c>
    </row>
    <row r="10" spans="1:8" ht="12.75">
      <c r="A10" s="1">
        <v>38067</v>
      </c>
      <c r="B10" t="s">
        <v>169</v>
      </c>
      <c r="C10">
        <v>43</v>
      </c>
      <c r="D10">
        <v>47</v>
      </c>
      <c r="E10">
        <f>AVERAGE(C6:C10)</f>
        <v>42</v>
      </c>
      <c r="F10">
        <f>AVERAGE(D6:D10)</f>
        <v>50</v>
      </c>
      <c r="G10">
        <f>F10-E10</f>
        <v>8</v>
      </c>
      <c r="H10" s="1">
        <v>38064</v>
      </c>
    </row>
    <row r="11" spans="1:8" ht="12.75">
      <c r="A11" s="1">
        <v>38094</v>
      </c>
      <c r="B11" t="s">
        <v>126</v>
      </c>
      <c r="C11">
        <v>43</v>
      </c>
      <c r="D11">
        <v>49</v>
      </c>
      <c r="E11">
        <f>AVERAGE(C7:C11)</f>
        <v>43</v>
      </c>
      <c r="F11">
        <f>AVERAGE(D7:D11)</f>
        <v>49.2</v>
      </c>
      <c r="G11">
        <f>F11-E11</f>
        <v>6.200000000000003</v>
      </c>
      <c r="H11" s="1">
        <v>38089</v>
      </c>
    </row>
    <row r="12" spans="1:8" ht="12.75">
      <c r="A12" s="1">
        <v>38100</v>
      </c>
      <c r="B12" t="s">
        <v>169</v>
      </c>
      <c r="C12">
        <v>38</v>
      </c>
      <c r="D12">
        <v>52</v>
      </c>
      <c r="E12">
        <f>AVERAGE(C8:C12)</f>
        <v>42.6</v>
      </c>
      <c r="F12">
        <f>AVERAGE(D8:D12)</f>
        <v>48.6</v>
      </c>
      <c r="G12">
        <f>F12-E12</f>
        <v>6</v>
      </c>
      <c r="H12" s="1">
        <v>38098</v>
      </c>
    </row>
    <row r="13" spans="1:8" ht="12.75">
      <c r="A13" s="1">
        <v>38124</v>
      </c>
      <c r="B13" t="s">
        <v>250</v>
      </c>
      <c r="C13">
        <v>38</v>
      </c>
      <c r="D13">
        <v>51</v>
      </c>
      <c r="E13">
        <f>AVERAGE(C9:C13)</f>
        <v>41.8</v>
      </c>
      <c r="F13">
        <f>AVERAGE(D9:D13)</f>
        <v>49</v>
      </c>
      <c r="G13">
        <f>F13-E13</f>
        <v>7.200000000000003</v>
      </c>
      <c r="H13" s="1">
        <v>38121</v>
      </c>
    </row>
    <row r="14" spans="1:8" ht="12.75">
      <c r="A14" s="1">
        <v>38140</v>
      </c>
      <c r="B14" t="s">
        <v>126</v>
      </c>
      <c r="C14">
        <v>42</v>
      </c>
      <c r="D14">
        <v>47</v>
      </c>
      <c r="E14">
        <f>AVERAGE(C10:C14)</f>
        <v>40.8</v>
      </c>
      <c r="F14">
        <f>AVERAGE(D10:D14)</f>
        <v>49.2</v>
      </c>
      <c r="G14">
        <f>F14-E14</f>
        <v>8.400000000000006</v>
      </c>
      <c r="H14" s="1">
        <v>38124</v>
      </c>
    </row>
    <row r="15" spans="1:8" ht="12.75">
      <c r="A15" s="1">
        <v>38133</v>
      </c>
      <c r="B15" t="s">
        <v>169</v>
      </c>
      <c r="C15">
        <v>38</v>
      </c>
      <c r="D15">
        <v>53</v>
      </c>
      <c r="E15">
        <f>AVERAGE(C11:C15)</f>
        <v>39.8</v>
      </c>
      <c r="F15">
        <f>AVERAGE(D11:D15)</f>
        <v>50.4</v>
      </c>
      <c r="G15">
        <f>F15-E15</f>
        <v>10.600000000000001</v>
      </c>
      <c r="H15" s="1">
        <v>38128</v>
      </c>
    </row>
    <row r="16" spans="1:8" ht="12.75">
      <c r="A16" s="1">
        <v>38151</v>
      </c>
      <c r="B16" t="s">
        <v>169</v>
      </c>
      <c r="C16">
        <v>39</v>
      </c>
      <c r="D16">
        <v>52</v>
      </c>
      <c r="E16">
        <f>AVERAGE(C12:C16)</f>
        <v>39</v>
      </c>
      <c r="F16">
        <f>AVERAGE(D12:D16)</f>
        <v>51</v>
      </c>
      <c r="G16">
        <f>F16-E16</f>
        <v>12</v>
      </c>
      <c r="H16" s="1">
        <v>38148</v>
      </c>
    </row>
    <row r="17" spans="1:8" ht="12.75">
      <c r="A17" s="1">
        <v>38155</v>
      </c>
      <c r="B17" t="s">
        <v>126</v>
      </c>
      <c r="C17">
        <v>46</v>
      </c>
      <c r="D17">
        <v>47</v>
      </c>
      <c r="E17">
        <f>AVERAGE(C13:C17)</f>
        <v>40.6</v>
      </c>
      <c r="F17">
        <f>AVERAGE(D13:D17)</f>
        <v>50</v>
      </c>
      <c r="G17">
        <f>F17-E17</f>
        <v>9.399999999999999</v>
      </c>
      <c r="H17" s="1">
        <v>38154</v>
      </c>
    </row>
    <row r="18" spans="1:8" ht="12.75">
      <c r="A18" s="1">
        <v>38164</v>
      </c>
      <c r="B18" t="s">
        <v>280</v>
      </c>
      <c r="C18">
        <v>37</v>
      </c>
      <c r="D18">
        <v>54</v>
      </c>
      <c r="E18">
        <f>AVERAGE(C14:C18)</f>
        <v>40.4</v>
      </c>
      <c r="F18">
        <f>AVERAGE(D14:D18)</f>
        <v>50.6</v>
      </c>
      <c r="G18">
        <f>F18-E18</f>
        <v>10.200000000000003</v>
      </c>
      <c r="H18" s="1">
        <v>38161</v>
      </c>
    </row>
    <row r="19" spans="1:8" ht="12.75">
      <c r="A19" s="1">
        <v>38176</v>
      </c>
      <c r="B19" t="s">
        <v>239</v>
      </c>
      <c r="C19">
        <v>32</v>
      </c>
      <c r="D19">
        <v>48</v>
      </c>
      <c r="E19">
        <f>AVERAGE(C15:C19)</f>
        <v>38.4</v>
      </c>
      <c r="F19">
        <f>AVERAGE(D15:D19)</f>
        <v>50.8</v>
      </c>
      <c r="G19">
        <f>F19-E19</f>
        <v>12.399999999999999</v>
      </c>
      <c r="H19" s="1">
        <v>38167</v>
      </c>
    </row>
    <row r="20" spans="1:8" ht="12.75">
      <c r="A20" s="1">
        <v>38182</v>
      </c>
      <c r="B20" t="s">
        <v>169</v>
      </c>
      <c r="C20">
        <v>34</v>
      </c>
      <c r="D20">
        <v>52</v>
      </c>
      <c r="E20">
        <f>AVERAGE(C16:C20)</f>
        <v>37.6</v>
      </c>
      <c r="F20">
        <f>AVERAGE(D16:D20)</f>
        <v>50.6</v>
      </c>
      <c r="G20">
        <f>F20-E20</f>
        <v>13</v>
      </c>
      <c r="H20" s="1">
        <v>38177</v>
      </c>
    </row>
    <row r="21" spans="1:8" ht="12.75">
      <c r="A21" s="1">
        <v>38189</v>
      </c>
      <c r="B21" t="s">
        <v>169</v>
      </c>
      <c r="C21">
        <v>39</v>
      </c>
      <c r="D21">
        <v>52</v>
      </c>
      <c r="E21">
        <f>AVERAGE(C17:C21)</f>
        <v>37.6</v>
      </c>
      <c r="F21">
        <f>AVERAGE(D17:D21)</f>
        <v>50.6</v>
      </c>
      <c r="G21">
        <f>F21-E21</f>
        <v>13</v>
      </c>
      <c r="H21" s="1">
        <v>38189</v>
      </c>
    </row>
    <row r="22" spans="1:8" ht="12.75">
      <c r="A22" s="1">
        <v>38192</v>
      </c>
      <c r="B22" t="s">
        <v>280</v>
      </c>
      <c r="C22">
        <v>44</v>
      </c>
      <c r="D22">
        <v>46</v>
      </c>
      <c r="E22">
        <f>AVERAGE(C18:C22)</f>
        <v>37.2</v>
      </c>
      <c r="F22">
        <f>AVERAGE(D18:D22)</f>
        <v>50.4</v>
      </c>
      <c r="G22">
        <f>F22-E22</f>
        <v>13.199999999999996</v>
      </c>
      <c r="H22" s="1">
        <v>38189</v>
      </c>
    </row>
    <row r="23" spans="1:8" ht="12.75">
      <c r="A23" s="1">
        <v>38213</v>
      </c>
      <c r="B23" t="s">
        <v>169</v>
      </c>
      <c r="C23">
        <v>45</v>
      </c>
      <c r="D23">
        <v>49</v>
      </c>
      <c r="E23">
        <f>AVERAGE(C19:C23)</f>
        <v>38.8</v>
      </c>
      <c r="F23">
        <f>AVERAGE(D19:D23)</f>
        <v>49.4</v>
      </c>
      <c r="G23">
        <f>F23-E23</f>
        <v>10.600000000000001</v>
      </c>
      <c r="H23" s="1">
        <v>38211</v>
      </c>
    </row>
    <row r="24" spans="1:8" ht="12.75">
      <c r="A24" s="1">
        <v>38217</v>
      </c>
      <c r="B24" t="s">
        <v>126</v>
      </c>
      <c r="C24">
        <v>45</v>
      </c>
      <c r="D24">
        <v>47</v>
      </c>
      <c r="E24">
        <f>AVERAGE(C20:C24)</f>
        <v>41.4</v>
      </c>
      <c r="F24">
        <f>AVERAGE(D20:D24)</f>
        <v>49.2</v>
      </c>
      <c r="G24">
        <f>F24-E24</f>
        <v>7.800000000000004</v>
      </c>
      <c r="H24" s="1">
        <v>38212</v>
      </c>
    </row>
    <row r="25" spans="1:8" ht="12.75">
      <c r="A25" s="1">
        <v>38220</v>
      </c>
      <c r="B25" t="s">
        <v>132</v>
      </c>
      <c r="C25">
        <v>38</v>
      </c>
      <c r="D25">
        <v>48</v>
      </c>
      <c r="E25">
        <f>AVERAGE(C21:C25)</f>
        <v>42.2</v>
      </c>
      <c r="F25">
        <f>AVERAGE(D21:D25)</f>
        <v>48.4</v>
      </c>
      <c r="G25">
        <f>F25-E25</f>
        <v>6.199999999999996</v>
      </c>
      <c r="H25" s="1">
        <v>38215</v>
      </c>
    </row>
    <row r="26" spans="1:8" ht="12.75">
      <c r="A26" s="1">
        <v>38233</v>
      </c>
      <c r="B26" t="s">
        <v>68</v>
      </c>
      <c r="C26">
        <v>37</v>
      </c>
      <c r="D26">
        <v>51</v>
      </c>
      <c r="E26">
        <f>AVERAGE(C22:C26)</f>
        <v>41.8</v>
      </c>
      <c r="F26">
        <f>AVERAGE(D22:D26)</f>
        <v>48.2</v>
      </c>
      <c r="G26">
        <f>F26-E26</f>
        <v>6.400000000000006</v>
      </c>
      <c r="H26" s="1">
        <v>38231</v>
      </c>
    </row>
    <row r="27" spans="1:8" ht="12.75">
      <c r="A27" s="1">
        <v>38243</v>
      </c>
      <c r="B27" t="s">
        <v>126</v>
      </c>
      <c r="C27">
        <v>47</v>
      </c>
      <c r="D27">
        <v>49</v>
      </c>
      <c r="E27">
        <f>AVERAGE(C23:C27)</f>
        <v>42.4</v>
      </c>
      <c r="F27">
        <f>AVERAGE(D23:D27)</f>
        <v>48.8</v>
      </c>
      <c r="G27">
        <f>F27-E27</f>
        <v>6.399999999999999</v>
      </c>
      <c r="H27" s="1">
        <v>38240</v>
      </c>
    </row>
    <row r="28" spans="1:8" ht="12.75">
      <c r="A28" s="1">
        <v>38243</v>
      </c>
      <c r="B28" t="s">
        <v>70</v>
      </c>
      <c r="C28">
        <v>45</v>
      </c>
      <c r="D28">
        <v>45</v>
      </c>
      <c r="E28">
        <f>AVERAGE(C24:C28)</f>
        <v>42.4</v>
      </c>
      <c r="F28">
        <f>AVERAGE(D24:D28)</f>
        <v>48</v>
      </c>
      <c r="G28">
        <f>F28-E28</f>
        <v>5.600000000000001</v>
      </c>
      <c r="H28" s="1">
        <v>38241</v>
      </c>
    </row>
    <row r="29" spans="1:8" ht="12.75">
      <c r="A29" s="1">
        <v>38248</v>
      </c>
      <c r="B29" t="s">
        <v>26</v>
      </c>
      <c r="C29">
        <v>45</v>
      </c>
      <c r="D29">
        <v>47</v>
      </c>
      <c r="E29">
        <f>AVERAGE(C25:C29)</f>
        <v>42.4</v>
      </c>
      <c r="F29">
        <f>AVERAGE(D25:D29)</f>
        <v>48</v>
      </c>
      <c r="G29">
        <f>F29-E29</f>
        <v>5.600000000000001</v>
      </c>
      <c r="H29" s="1">
        <v>38246</v>
      </c>
    </row>
    <row r="30" spans="1:8" ht="12.75">
      <c r="A30" s="1">
        <v>38252</v>
      </c>
      <c r="B30" t="s">
        <v>169</v>
      </c>
      <c r="C30">
        <v>44</v>
      </c>
      <c r="D30">
        <v>52</v>
      </c>
      <c r="E30">
        <f>AVERAGE(C26:C30)</f>
        <v>43.6</v>
      </c>
      <c r="F30">
        <f>AVERAGE(D26:D30)</f>
        <v>48.8</v>
      </c>
      <c r="G30">
        <f>F30-E30</f>
        <v>5.199999999999996</v>
      </c>
      <c r="H30" s="1">
        <v>38247</v>
      </c>
    </row>
    <row r="31" spans="1:8" ht="12.75">
      <c r="A31" s="1">
        <v>38251</v>
      </c>
      <c r="B31" t="s">
        <v>59</v>
      </c>
      <c r="C31">
        <v>47</v>
      </c>
      <c r="D31">
        <v>48</v>
      </c>
      <c r="E31">
        <f>AVERAGE(C27:C31)</f>
        <v>45.6</v>
      </c>
      <c r="F31">
        <f>AVERAGE(D27:D31)</f>
        <v>48.2</v>
      </c>
      <c r="G31">
        <f>F31-E31</f>
        <v>2.6000000000000014</v>
      </c>
      <c r="H31" s="1">
        <v>38249</v>
      </c>
    </row>
    <row r="32" spans="1:8" ht="12.75">
      <c r="A32" s="1">
        <v>38252</v>
      </c>
      <c r="B32" t="s">
        <v>280</v>
      </c>
      <c r="C32">
        <v>45</v>
      </c>
      <c r="D32">
        <v>47</v>
      </c>
      <c r="E32">
        <f>AVERAGE(C28:C32)</f>
        <v>45.2</v>
      </c>
      <c r="F32">
        <f>AVERAGE(D28:D32)</f>
        <v>47.8</v>
      </c>
      <c r="G32">
        <f>F32-E32</f>
        <v>2.5999999999999943</v>
      </c>
      <c r="H32" s="1">
        <v>38250</v>
      </c>
    </row>
    <row r="33" spans="1:8" ht="12.75">
      <c r="A33" s="1">
        <v>38261</v>
      </c>
      <c r="B33" t="s">
        <v>109</v>
      </c>
      <c r="C33">
        <v>41</v>
      </c>
      <c r="D33">
        <v>53</v>
      </c>
      <c r="E33">
        <f>AVERAGE(C29:C33)</f>
        <v>44.4</v>
      </c>
      <c r="F33">
        <f>AVERAGE(D29:D33)</f>
        <v>49.4</v>
      </c>
      <c r="G33">
        <f>F33-E33</f>
        <v>5</v>
      </c>
      <c r="H33" s="1">
        <v>38259</v>
      </c>
    </row>
    <row r="34" spans="1:8" ht="12.75">
      <c r="A34" s="1">
        <v>38262</v>
      </c>
      <c r="B34" t="s">
        <v>126</v>
      </c>
      <c r="C34">
        <v>47</v>
      </c>
      <c r="D34">
        <v>46</v>
      </c>
      <c r="E34">
        <f>AVERAGE(C30:C34)</f>
        <v>44.8</v>
      </c>
      <c r="F34">
        <f>AVERAGE(D30:D34)</f>
        <v>49.2</v>
      </c>
      <c r="G34">
        <f>F34-E34</f>
        <v>4.400000000000006</v>
      </c>
      <c r="H34" s="1">
        <v>38260</v>
      </c>
    </row>
    <row r="35" spans="1:8" ht="12.75">
      <c r="A35" s="1">
        <v>38267</v>
      </c>
      <c r="B35" t="s">
        <v>132</v>
      </c>
      <c r="C35">
        <v>43</v>
      </c>
      <c r="D35">
        <v>47</v>
      </c>
      <c r="E35">
        <f>AVERAGE(C31:C35)</f>
        <v>44.6</v>
      </c>
      <c r="F35">
        <f>AVERAGE(D31:D35)</f>
        <v>48.2</v>
      </c>
      <c r="G35">
        <f>F35-E35</f>
        <v>3.6000000000000014</v>
      </c>
      <c r="H35" s="1">
        <v>38260</v>
      </c>
    </row>
    <row r="36" spans="1:8" ht="12.75">
      <c r="A36" s="1">
        <v>38264</v>
      </c>
      <c r="B36" t="s">
        <v>70</v>
      </c>
      <c r="C36">
        <v>37</v>
      </c>
      <c r="D36">
        <v>55</v>
      </c>
      <c r="E36">
        <f>AVERAGE(C32:C36)</f>
        <v>42.6</v>
      </c>
      <c r="F36">
        <f>AVERAGE(D32:D36)</f>
        <v>49.6</v>
      </c>
      <c r="G36">
        <f>F36-E36</f>
        <v>7</v>
      </c>
      <c r="H36" s="1">
        <v>38261</v>
      </c>
    </row>
    <row r="37" spans="1:8" ht="12.75">
      <c r="A37" s="1">
        <v>38267</v>
      </c>
      <c r="B37" t="s">
        <v>132</v>
      </c>
      <c r="C37">
        <v>40</v>
      </c>
      <c r="D37">
        <v>54</v>
      </c>
      <c r="E37">
        <f>AVERAGE(C33:C37)</f>
        <v>41.6</v>
      </c>
      <c r="F37">
        <f>AVERAGE(D33:D37)</f>
        <v>51</v>
      </c>
      <c r="G37">
        <f>F37-E37</f>
        <v>9.399999999999999</v>
      </c>
      <c r="H37" s="1">
        <v>38264</v>
      </c>
    </row>
    <row r="38" spans="1:8" ht="12.75">
      <c r="A38" s="1">
        <v>38268</v>
      </c>
      <c r="B38" t="s">
        <v>169</v>
      </c>
      <c r="C38">
        <v>45</v>
      </c>
      <c r="D38">
        <v>52</v>
      </c>
      <c r="E38">
        <f>AVERAGE(C34:C38)</f>
        <v>42.4</v>
      </c>
      <c r="F38">
        <f>AVERAGE(D34:D38)</f>
        <v>50.8</v>
      </c>
      <c r="G38">
        <f>F38-E38</f>
        <v>8.399999999999999</v>
      </c>
      <c r="H38" s="1">
        <v>38266</v>
      </c>
    </row>
    <row r="39" spans="1:8" ht="12.75">
      <c r="A39" s="1">
        <v>38269</v>
      </c>
      <c r="B39" t="s">
        <v>59</v>
      </c>
      <c r="C39">
        <v>46</v>
      </c>
      <c r="D39">
        <v>47</v>
      </c>
      <c r="E39">
        <f>AVERAGE(C35:C39)</f>
        <v>42.2</v>
      </c>
      <c r="F39">
        <f>AVERAGE(D35:D39)</f>
        <v>51</v>
      </c>
      <c r="G39">
        <f>F39-E39</f>
        <v>8.799999999999997</v>
      </c>
      <c r="H39" s="1">
        <v>38266</v>
      </c>
    </row>
    <row r="40" spans="1:8" ht="12.75">
      <c r="A40" s="1">
        <v>38273</v>
      </c>
      <c r="B40" t="s">
        <v>280</v>
      </c>
      <c r="C40">
        <v>43</v>
      </c>
      <c r="D40">
        <v>51</v>
      </c>
      <c r="E40">
        <f>AVERAGE(C36:C40)</f>
        <v>42.2</v>
      </c>
      <c r="F40">
        <f>AVERAGE(D36:D40)</f>
        <v>51.8</v>
      </c>
      <c r="G40">
        <f>F40-E40</f>
        <v>9.599999999999994</v>
      </c>
      <c r="H40" s="1">
        <v>38266</v>
      </c>
    </row>
    <row r="41" spans="1:8" ht="12.75">
      <c r="A41" s="1">
        <v>38273</v>
      </c>
      <c r="B41" t="s">
        <v>280</v>
      </c>
      <c r="C41">
        <v>40</v>
      </c>
      <c r="D41">
        <v>51</v>
      </c>
      <c r="E41">
        <f>AVERAGE(C37:C41)</f>
        <v>42.8</v>
      </c>
      <c r="F41">
        <f>AVERAGE(D37:D41)</f>
        <v>51</v>
      </c>
      <c r="G41">
        <f>F41-E41</f>
        <v>8.200000000000003</v>
      </c>
      <c r="H41" s="1">
        <v>38271</v>
      </c>
    </row>
    <row r="42" spans="1:8" ht="12.75">
      <c r="A42" s="1">
        <v>38279</v>
      </c>
      <c r="B42" t="s">
        <v>81</v>
      </c>
      <c r="C42">
        <v>39</v>
      </c>
      <c r="D42">
        <v>52</v>
      </c>
      <c r="E42">
        <f>AVERAGE(C38:C42)</f>
        <v>42.6</v>
      </c>
      <c r="F42">
        <f>AVERAGE(D38:D42)</f>
        <v>50.6</v>
      </c>
      <c r="G42">
        <f>F42-E42</f>
        <v>8</v>
      </c>
      <c r="H42" s="1">
        <v>38274</v>
      </c>
    </row>
    <row r="43" spans="1:8" ht="12.75">
      <c r="A43" s="1">
        <v>38279</v>
      </c>
      <c r="B43" t="s">
        <v>70</v>
      </c>
      <c r="C43">
        <v>41</v>
      </c>
      <c r="D43">
        <v>52</v>
      </c>
      <c r="E43">
        <f>AVERAGE(C39:C43)</f>
        <v>41.8</v>
      </c>
      <c r="F43">
        <f>AVERAGE(D39:D43)</f>
        <v>50.6</v>
      </c>
      <c r="G43">
        <f>F43-E43</f>
        <v>8.800000000000004</v>
      </c>
      <c r="H43" s="1">
        <v>38276</v>
      </c>
    </row>
    <row r="44" spans="1:8" ht="12.75">
      <c r="A44" s="1">
        <v>38279</v>
      </c>
      <c r="B44" t="s">
        <v>126</v>
      </c>
      <c r="C44">
        <v>44</v>
      </c>
      <c r="D44">
        <v>50</v>
      </c>
      <c r="E44">
        <f>AVERAGE(C40:C44)</f>
        <v>41.4</v>
      </c>
      <c r="F44">
        <f>AVERAGE(D40:D44)</f>
        <v>51.2</v>
      </c>
      <c r="G44">
        <f>F44-E44</f>
        <v>9.800000000000004</v>
      </c>
      <c r="H44" s="1">
        <v>38277</v>
      </c>
    </row>
    <row r="45" spans="1:8" ht="12.75">
      <c r="A45" s="1">
        <v>38283</v>
      </c>
      <c r="B45" t="s">
        <v>52</v>
      </c>
      <c r="C45">
        <v>40</v>
      </c>
      <c r="D45">
        <v>50</v>
      </c>
      <c r="E45">
        <f>AVERAGE(C41:C45)</f>
        <v>40.8</v>
      </c>
      <c r="F45">
        <f>AVERAGE(D41:D45)</f>
        <v>51</v>
      </c>
      <c r="G45">
        <f>F45-E45</f>
        <v>10.200000000000003</v>
      </c>
      <c r="H45" s="1">
        <v>38279</v>
      </c>
    </row>
    <row r="46" spans="1:8" ht="12.75">
      <c r="A46" s="1">
        <v>38282</v>
      </c>
      <c r="B46" t="s">
        <v>296</v>
      </c>
      <c r="C46">
        <v>38</v>
      </c>
      <c r="D46">
        <v>57</v>
      </c>
      <c r="E46">
        <f>AVERAGE(C42:C46)</f>
        <v>40.4</v>
      </c>
      <c r="F46">
        <f>AVERAGE(D42:D46)</f>
        <v>52.2</v>
      </c>
      <c r="G46">
        <f>F46-E46</f>
        <v>11.800000000000004</v>
      </c>
      <c r="H46" s="1">
        <v>38281</v>
      </c>
    </row>
    <row r="47" spans="1:8" ht="12.75">
      <c r="A47" s="1">
        <v>38283</v>
      </c>
      <c r="B47" t="s">
        <v>169</v>
      </c>
      <c r="C47">
        <v>41</v>
      </c>
      <c r="D47">
        <v>56</v>
      </c>
      <c r="E47">
        <f>AVERAGE(C43:C47)</f>
        <v>40.8</v>
      </c>
      <c r="F47">
        <f>AVERAGE(D43:D47)</f>
        <v>53</v>
      </c>
      <c r="G47">
        <f>F47-E47</f>
        <v>12.200000000000003</v>
      </c>
      <c r="H47" s="1">
        <v>38281</v>
      </c>
    </row>
    <row r="48" spans="1:8" ht="12.75">
      <c r="A48" s="1">
        <v>38287</v>
      </c>
      <c r="B48" t="s">
        <v>1</v>
      </c>
      <c r="C48">
        <v>37</v>
      </c>
      <c r="D48">
        <v>42</v>
      </c>
      <c r="E48">
        <f>AVERAGE(C44:C48)</f>
        <v>40</v>
      </c>
      <c r="F48">
        <f>AVERAGE(D44:D48)</f>
        <v>51</v>
      </c>
      <c r="G48">
        <f>F48-E48</f>
        <v>11</v>
      </c>
      <c r="H48" s="1">
        <v>38281</v>
      </c>
    </row>
    <row r="49" spans="1:8" ht="12.75">
      <c r="A49" s="1">
        <v>38289</v>
      </c>
      <c r="B49" t="s">
        <v>169</v>
      </c>
      <c r="C49">
        <v>43</v>
      </c>
      <c r="D49">
        <v>55</v>
      </c>
      <c r="E49">
        <f>AVERAGE(C45:C49)</f>
        <v>39.8</v>
      </c>
      <c r="F49">
        <f>AVERAGE(D45:D49)</f>
        <v>52</v>
      </c>
      <c r="G49">
        <f>F49-E49</f>
        <v>12.200000000000003</v>
      </c>
      <c r="H49" s="1">
        <v>38287</v>
      </c>
    </row>
    <row r="50" spans="1:8" ht="12.75">
      <c r="A50" s="1">
        <v>38289</v>
      </c>
      <c r="B50" t="s">
        <v>89</v>
      </c>
      <c r="C50">
        <v>40</v>
      </c>
      <c r="D50">
        <v>48</v>
      </c>
      <c r="E50">
        <f>AVERAGE(C46:C50)</f>
        <v>39.8</v>
      </c>
      <c r="F50">
        <f>AVERAGE(D46:D50)</f>
        <v>51.6</v>
      </c>
      <c r="G50">
        <f>F50-E50</f>
        <v>11.800000000000004</v>
      </c>
      <c r="H50" s="1">
        <v>38287</v>
      </c>
    </row>
    <row r="51" spans="1:8" ht="12.75">
      <c r="A51" s="1">
        <v>38289</v>
      </c>
      <c r="B51" t="s">
        <v>132</v>
      </c>
      <c r="C51">
        <v>37</v>
      </c>
      <c r="D51">
        <v>56</v>
      </c>
      <c r="E51">
        <f>AVERAGE(C47:C51)</f>
        <v>39.6</v>
      </c>
      <c r="F51">
        <f>AVERAGE(D47:D51)</f>
        <v>51.4</v>
      </c>
      <c r="G51">
        <f>F51-E51</f>
        <v>11.799999999999997</v>
      </c>
      <c r="H51" s="1">
        <v>38287</v>
      </c>
    </row>
    <row r="52" spans="1:8" ht="12.75">
      <c r="A52" s="1">
        <v>38291</v>
      </c>
      <c r="B52" t="s">
        <v>81</v>
      </c>
      <c r="C52">
        <v>38</v>
      </c>
      <c r="D52">
        <v>53</v>
      </c>
      <c r="E52">
        <f>AVERAGE(C48:C52)</f>
        <v>39</v>
      </c>
      <c r="F52">
        <f>AVERAGE(D48:D52)</f>
        <v>50.8</v>
      </c>
      <c r="G52">
        <f>F52-E52</f>
        <v>11.799999999999997</v>
      </c>
      <c r="H52" s="1">
        <v>38288</v>
      </c>
    </row>
    <row r="53" spans="1:8" ht="12.75">
      <c r="A53" s="1">
        <v>38290</v>
      </c>
      <c r="B53" t="s">
        <v>93</v>
      </c>
      <c r="C53">
        <v>41</v>
      </c>
      <c r="D53">
        <v>57</v>
      </c>
      <c r="E53">
        <f>AVERAGE(C49:C53)</f>
        <v>39.8</v>
      </c>
      <c r="F53">
        <f>AVERAGE(D49:D53)</f>
        <v>53.8</v>
      </c>
      <c r="G53">
        <f>F53-E53</f>
        <v>14</v>
      </c>
      <c r="H53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H18"/>
  <sheetViews>
    <sheetView zoomScalePageLayoutView="0" workbookViewId="0" topLeftCell="A1">
      <selection activeCell="C14" sqref="C14"/>
    </sheetView>
  </sheetViews>
  <sheetFormatPr defaultColWidth="11.00390625" defaultRowHeight="12.75"/>
  <sheetData>
    <row r="3" spans="3:7" ht="12.75">
      <c r="C3" s="3" t="s">
        <v>62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54</v>
      </c>
      <c r="D5">
        <v>41</v>
      </c>
      <c r="E5">
        <f aca="true" t="shared" si="0" ref="E5:F7">AVERAGE(C1:C5)</f>
        <v>54</v>
      </c>
      <c r="F5">
        <f t="shared" si="0"/>
        <v>41</v>
      </c>
      <c r="G5">
        <f>F5-E5</f>
        <v>-13</v>
      </c>
      <c r="H5" s="1">
        <v>38044</v>
      </c>
    </row>
    <row r="6" spans="1:8" ht="12.75">
      <c r="A6" s="1">
        <v>38129</v>
      </c>
      <c r="B6" t="s">
        <v>81</v>
      </c>
      <c r="C6">
        <v>54</v>
      </c>
      <c r="D6">
        <v>39</v>
      </c>
      <c r="E6">
        <f t="shared" si="0"/>
        <v>54</v>
      </c>
      <c r="F6">
        <f t="shared" si="0"/>
        <v>40</v>
      </c>
      <c r="G6">
        <f>F6-E6</f>
        <v>-14</v>
      </c>
      <c r="H6" s="1">
        <v>38129</v>
      </c>
    </row>
    <row r="7" spans="1:8" ht="12.75">
      <c r="A7" s="1">
        <v>38136</v>
      </c>
      <c r="B7" t="s">
        <v>169</v>
      </c>
      <c r="C7">
        <v>50</v>
      </c>
      <c r="D7">
        <v>44</v>
      </c>
      <c r="E7">
        <f t="shared" si="0"/>
        <v>52.666666666666664</v>
      </c>
      <c r="F7">
        <f t="shared" si="0"/>
        <v>41.333333333333336</v>
      </c>
      <c r="G7">
        <f>F7-E7</f>
        <v>-11.333333333333329</v>
      </c>
      <c r="H7" s="1">
        <v>38136</v>
      </c>
    </row>
    <row r="8" spans="1:8" ht="12.75">
      <c r="A8" s="1">
        <v>38165</v>
      </c>
      <c r="B8" t="s">
        <v>169</v>
      </c>
      <c r="C8">
        <v>50</v>
      </c>
      <c r="D8">
        <v>44</v>
      </c>
      <c r="E8">
        <f aca="true" t="shared" si="1" ref="E8:E18">AVERAGE(C4:C8)</f>
        <v>52</v>
      </c>
      <c r="F8">
        <f aca="true" t="shared" si="2" ref="F8:F18">AVERAGE(D4:D8)</f>
        <v>42</v>
      </c>
      <c r="G8">
        <f aca="true" t="shared" si="3" ref="G8:G18">F8-E8</f>
        <v>-10</v>
      </c>
      <c r="H8" s="1">
        <v>38161</v>
      </c>
    </row>
    <row r="9" spans="1:8" ht="12.75">
      <c r="A9" s="1">
        <v>38192</v>
      </c>
      <c r="B9" t="s">
        <v>208</v>
      </c>
      <c r="C9">
        <v>51</v>
      </c>
      <c r="D9">
        <v>42</v>
      </c>
      <c r="E9">
        <f t="shared" si="1"/>
        <v>51.8</v>
      </c>
      <c r="F9">
        <f t="shared" si="2"/>
        <v>42</v>
      </c>
      <c r="G9">
        <f t="shared" si="3"/>
        <v>-9.799999999999997</v>
      </c>
      <c r="H9" s="1">
        <v>38190</v>
      </c>
    </row>
    <row r="10" spans="1:8" ht="12.75">
      <c r="A10" s="1">
        <v>38198</v>
      </c>
      <c r="B10" t="s">
        <v>169</v>
      </c>
      <c r="C10">
        <v>54</v>
      </c>
      <c r="D10">
        <v>42</v>
      </c>
      <c r="E10">
        <f t="shared" si="1"/>
        <v>51.8</v>
      </c>
      <c r="F10">
        <f t="shared" si="2"/>
        <v>42.2</v>
      </c>
      <c r="G10">
        <f t="shared" si="3"/>
        <v>-9.599999999999994</v>
      </c>
      <c r="H10" s="1">
        <v>38195</v>
      </c>
    </row>
    <row r="11" spans="1:8" ht="12.75">
      <c r="A11" s="1">
        <v>38221</v>
      </c>
      <c r="B11" t="s">
        <v>169</v>
      </c>
      <c r="C11">
        <v>56</v>
      </c>
      <c r="D11">
        <v>43</v>
      </c>
      <c r="E11">
        <f t="shared" si="1"/>
        <v>52.2</v>
      </c>
      <c r="F11">
        <f t="shared" si="2"/>
        <v>43</v>
      </c>
      <c r="G11">
        <f t="shared" si="3"/>
        <v>-9.200000000000003</v>
      </c>
      <c r="H11" s="1">
        <v>38219</v>
      </c>
    </row>
    <row r="12" spans="1:8" ht="12.75">
      <c r="A12" s="1">
        <v>38241</v>
      </c>
      <c r="B12" t="s">
        <v>81</v>
      </c>
      <c r="C12">
        <v>55</v>
      </c>
      <c r="D12">
        <v>37</v>
      </c>
      <c r="E12">
        <f t="shared" si="1"/>
        <v>53.2</v>
      </c>
      <c r="F12">
        <f t="shared" si="2"/>
        <v>41.6</v>
      </c>
      <c r="G12">
        <f t="shared" si="3"/>
        <v>-11.600000000000001</v>
      </c>
      <c r="H12" s="1">
        <v>38239</v>
      </c>
    </row>
    <row r="13" spans="1:8" ht="12.75">
      <c r="A13" s="1">
        <v>38247</v>
      </c>
      <c r="B13" t="s">
        <v>59</v>
      </c>
      <c r="C13">
        <v>55</v>
      </c>
      <c r="D13">
        <v>39</v>
      </c>
      <c r="E13">
        <f t="shared" si="1"/>
        <v>54.2</v>
      </c>
      <c r="F13">
        <f t="shared" si="2"/>
        <v>40.6</v>
      </c>
      <c r="G13">
        <f t="shared" si="3"/>
        <v>-13.600000000000001</v>
      </c>
      <c r="H13" s="1">
        <v>38242</v>
      </c>
    </row>
    <row r="14" spans="1:8" ht="12.75">
      <c r="A14" s="1">
        <v>38261</v>
      </c>
      <c r="B14" t="s">
        <v>169</v>
      </c>
      <c r="C14">
        <v>52</v>
      </c>
      <c r="D14">
        <v>44</v>
      </c>
      <c r="E14">
        <f t="shared" si="1"/>
        <v>54.4</v>
      </c>
      <c r="F14">
        <f t="shared" si="2"/>
        <v>41</v>
      </c>
      <c r="G14">
        <f t="shared" si="3"/>
        <v>-13.399999999999999</v>
      </c>
      <c r="H14" s="1">
        <v>38259</v>
      </c>
    </row>
    <row r="15" spans="1:8" ht="12.75">
      <c r="A15" s="1">
        <v>38277</v>
      </c>
      <c r="B15" t="s">
        <v>81</v>
      </c>
      <c r="C15">
        <v>50</v>
      </c>
      <c r="D15">
        <v>40</v>
      </c>
      <c r="E15">
        <f t="shared" si="1"/>
        <v>53.6</v>
      </c>
      <c r="F15">
        <f t="shared" si="2"/>
        <v>40.6</v>
      </c>
      <c r="G15">
        <f t="shared" si="3"/>
        <v>-13</v>
      </c>
      <c r="H15" s="1">
        <v>38274</v>
      </c>
    </row>
    <row r="16" spans="1:8" ht="12.75">
      <c r="A16" s="1">
        <v>38287</v>
      </c>
      <c r="B16" t="s">
        <v>2</v>
      </c>
      <c r="C16">
        <v>46</v>
      </c>
      <c r="D16">
        <v>33</v>
      </c>
      <c r="E16">
        <f t="shared" si="1"/>
        <v>51.6</v>
      </c>
      <c r="F16">
        <f t="shared" si="2"/>
        <v>38.6</v>
      </c>
      <c r="G16">
        <f t="shared" si="3"/>
        <v>-13</v>
      </c>
      <c r="H16" s="1">
        <v>38281</v>
      </c>
    </row>
    <row r="17" spans="1:8" ht="12.75">
      <c r="A17" s="1">
        <v>38288</v>
      </c>
      <c r="B17" t="s">
        <v>169</v>
      </c>
      <c r="C17">
        <v>53</v>
      </c>
      <c r="D17">
        <v>45</v>
      </c>
      <c r="E17">
        <f t="shared" si="1"/>
        <v>51.2</v>
      </c>
      <c r="F17">
        <f t="shared" si="2"/>
        <v>40.2</v>
      </c>
      <c r="G17">
        <f t="shared" si="3"/>
        <v>-11</v>
      </c>
      <c r="H17" s="1">
        <v>38286</v>
      </c>
    </row>
    <row r="18" spans="1:8" ht="12.75">
      <c r="A18" s="1">
        <v>38291</v>
      </c>
      <c r="B18" t="s">
        <v>81</v>
      </c>
      <c r="C18">
        <v>53</v>
      </c>
      <c r="D18">
        <v>40</v>
      </c>
      <c r="E18">
        <f t="shared" si="1"/>
        <v>50.8</v>
      </c>
      <c r="F18">
        <f t="shared" si="2"/>
        <v>40.4</v>
      </c>
      <c r="G18">
        <f t="shared" si="3"/>
        <v>-10.399999999999999</v>
      </c>
      <c r="H18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3:K54"/>
  <sheetViews>
    <sheetView zoomScalePageLayoutView="0" workbookViewId="0" topLeftCell="A1">
      <pane ySplit="3120" topLeftCell="BM34" activePane="bottomLeft" state="split"/>
      <selection pane="topLeft" activeCell="H54" sqref="H54"/>
      <selection pane="bottomLeft" activeCell="F59" sqref="F59"/>
    </sheetView>
  </sheetViews>
  <sheetFormatPr defaultColWidth="11.00390625" defaultRowHeight="12.75"/>
  <sheetData>
    <row r="3" spans="3:7" ht="12.75">
      <c r="C3" s="3" t="s">
        <v>117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37938</v>
      </c>
      <c r="B5" t="s">
        <v>126</v>
      </c>
      <c r="C5">
        <v>45</v>
      </c>
      <c r="D5">
        <v>46</v>
      </c>
      <c r="E5">
        <f>AVERAGE(C1:C5)</f>
        <v>45</v>
      </c>
      <c r="F5">
        <f>AVERAGE(D1:D5)</f>
        <v>46</v>
      </c>
      <c r="G5">
        <f>F5-E5</f>
        <v>1</v>
      </c>
      <c r="H5" s="1">
        <v>37938</v>
      </c>
    </row>
    <row r="6" spans="1:8" ht="12.75">
      <c r="A6" s="1">
        <v>37972</v>
      </c>
      <c r="B6" t="s">
        <v>126</v>
      </c>
      <c r="C6">
        <v>44</v>
      </c>
      <c r="D6">
        <v>47</v>
      </c>
      <c r="E6">
        <f>AVERAGE(C2:C6)</f>
        <v>44.5</v>
      </c>
      <c r="F6">
        <f>AVERAGE(D2:D6)</f>
        <v>46.5</v>
      </c>
      <c r="G6">
        <f>F6-E6</f>
        <v>2</v>
      </c>
      <c r="H6" s="1">
        <v>37972</v>
      </c>
    </row>
    <row r="7" spans="1:8" ht="12.75">
      <c r="A7" s="1">
        <v>38058</v>
      </c>
      <c r="B7" t="s">
        <v>126</v>
      </c>
      <c r="C7">
        <v>51</v>
      </c>
      <c r="D7">
        <v>40</v>
      </c>
      <c r="E7">
        <f>AVERAGE(C3:C7)</f>
        <v>46.666666666666664</v>
      </c>
      <c r="F7">
        <f>AVERAGE(D3:D7)</f>
        <v>44.333333333333336</v>
      </c>
      <c r="G7">
        <f>F7-E7</f>
        <v>-2.3333333333333286</v>
      </c>
      <c r="H7" s="1">
        <v>37998</v>
      </c>
    </row>
    <row r="8" spans="1:8" ht="12.75">
      <c r="A8" s="1">
        <v>38058</v>
      </c>
      <c r="B8" t="s">
        <v>100</v>
      </c>
      <c r="C8">
        <v>42</v>
      </c>
      <c r="D8">
        <v>47</v>
      </c>
      <c r="E8">
        <f>AVERAGE(C4:C8)</f>
        <v>45.5</v>
      </c>
      <c r="F8">
        <f>AVERAGE(D4:D8)</f>
        <v>45</v>
      </c>
      <c r="G8">
        <f>F8-E8</f>
        <v>-0.5</v>
      </c>
      <c r="H8" s="1">
        <v>38009</v>
      </c>
    </row>
    <row r="9" spans="1:8" ht="12.75">
      <c r="A9" s="1">
        <v>38058</v>
      </c>
      <c r="B9" t="s">
        <v>169</v>
      </c>
      <c r="C9">
        <v>42</v>
      </c>
      <c r="D9">
        <v>40</v>
      </c>
      <c r="E9">
        <f>AVERAGE(C5:C9)</f>
        <v>44.8</v>
      </c>
      <c r="F9">
        <f>AVERAGE(D5:D9)</f>
        <v>44</v>
      </c>
      <c r="G9">
        <f>F9-E9</f>
        <v>-0.7999999999999972</v>
      </c>
      <c r="H9" s="1">
        <v>38028</v>
      </c>
    </row>
    <row r="10" spans="1:8" ht="12.75">
      <c r="A10" s="1">
        <v>38058</v>
      </c>
      <c r="B10" t="s">
        <v>126</v>
      </c>
      <c r="C10">
        <v>43</v>
      </c>
      <c r="D10">
        <v>49</v>
      </c>
      <c r="E10">
        <f>AVERAGE(C6:C10)</f>
        <v>44.4</v>
      </c>
      <c r="F10">
        <f>AVERAGE(D6:D10)</f>
        <v>44.6</v>
      </c>
      <c r="G10">
        <f>F10-E10</f>
        <v>0.20000000000000284</v>
      </c>
      <c r="H10" s="1">
        <v>38033</v>
      </c>
    </row>
    <row r="11" spans="1:8" ht="12.75">
      <c r="A11" s="1">
        <v>38051</v>
      </c>
      <c r="B11" t="s">
        <v>126</v>
      </c>
      <c r="C11">
        <v>48</v>
      </c>
      <c r="D11">
        <v>42</v>
      </c>
      <c r="E11">
        <f>AVERAGE(C7:C11)</f>
        <v>45.2</v>
      </c>
      <c r="F11">
        <f>AVERAGE(D7:D11)</f>
        <v>43.6</v>
      </c>
      <c r="G11">
        <f>F11-E11</f>
        <v>-1.6000000000000014</v>
      </c>
      <c r="H11" s="1">
        <v>38044</v>
      </c>
    </row>
    <row r="12" spans="1:8" ht="12.75">
      <c r="A12" s="1">
        <v>38065</v>
      </c>
      <c r="B12" t="s">
        <v>126</v>
      </c>
      <c r="C12">
        <v>53</v>
      </c>
      <c r="D12">
        <v>39</v>
      </c>
      <c r="E12">
        <f>AVERAGE(C8:C12)</f>
        <v>45.6</v>
      </c>
      <c r="F12">
        <f>AVERAGE(D8:D12)</f>
        <v>43.4</v>
      </c>
      <c r="G12">
        <f>F12-E12</f>
        <v>-2.200000000000003</v>
      </c>
      <c r="H12" s="1">
        <v>38061</v>
      </c>
    </row>
    <row r="13" spans="1:8" ht="12.75">
      <c r="A13" s="1">
        <v>38072</v>
      </c>
      <c r="B13" t="s">
        <v>169</v>
      </c>
      <c r="C13">
        <v>53</v>
      </c>
      <c r="D13">
        <v>38</v>
      </c>
      <c r="E13">
        <f>AVERAGE(C9:C13)</f>
        <v>47.8</v>
      </c>
      <c r="F13">
        <f>AVERAGE(D9:D13)</f>
        <v>41.6</v>
      </c>
      <c r="G13">
        <f>F13-E13</f>
        <v>-6.199999999999996</v>
      </c>
      <c r="H13" s="1">
        <v>38069</v>
      </c>
    </row>
    <row r="14" spans="1:8" ht="12.75">
      <c r="A14" s="1">
        <v>38094</v>
      </c>
      <c r="B14" t="s">
        <v>126</v>
      </c>
      <c r="C14">
        <v>50</v>
      </c>
      <c r="D14">
        <v>42</v>
      </c>
      <c r="E14">
        <f>AVERAGE(C10:C14)</f>
        <v>49.4</v>
      </c>
      <c r="F14">
        <f>AVERAGE(D10:D14)</f>
        <v>42</v>
      </c>
      <c r="G14">
        <f>F14-E14</f>
        <v>-7.399999999999999</v>
      </c>
      <c r="H14" s="1">
        <v>38089</v>
      </c>
    </row>
    <row r="15" spans="1:8" ht="12.75">
      <c r="A15" s="1">
        <v>38115</v>
      </c>
      <c r="B15" t="s">
        <v>169</v>
      </c>
      <c r="C15">
        <v>47</v>
      </c>
      <c r="D15">
        <v>41</v>
      </c>
      <c r="E15">
        <f>AVERAGE(C11:C15)</f>
        <v>50.2</v>
      </c>
      <c r="F15">
        <f>AVERAGE(D11:D15)</f>
        <v>40.4</v>
      </c>
      <c r="G15">
        <f>F15-E15</f>
        <v>-9.800000000000004</v>
      </c>
      <c r="H15" s="1">
        <v>38112</v>
      </c>
    </row>
    <row r="16" spans="1:8" ht="12.75">
      <c r="A16" s="1">
        <v>38127</v>
      </c>
      <c r="B16" t="s">
        <v>126</v>
      </c>
      <c r="C16">
        <v>48</v>
      </c>
      <c r="D16">
        <v>45</v>
      </c>
      <c r="E16">
        <f>AVERAGE(C12:C16)</f>
        <v>50.2</v>
      </c>
      <c r="F16">
        <f>AVERAGE(D12:D16)</f>
        <v>41</v>
      </c>
      <c r="G16">
        <f>F16-E16</f>
        <v>-9.200000000000003</v>
      </c>
      <c r="H16" s="1">
        <v>38124</v>
      </c>
    </row>
    <row r="17" spans="1:8" ht="12.75">
      <c r="A17" s="1">
        <v>38144</v>
      </c>
      <c r="B17" t="s">
        <v>169</v>
      </c>
      <c r="C17">
        <v>42</v>
      </c>
      <c r="D17">
        <v>43</v>
      </c>
      <c r="E17">
        <f>AVERAGE(C13:C17)</f>
        <v>48</v>
      </c>
      <c r="F17">
        <f>AVERAGE(D13:D17)</f>
        <v>41.8</v>
      </c>
      <c r="G17">
        <f>F17-E17</f>
        <v>-6.200000000000003</v>
      </c>
      <c r="H17" s="1">
        <v>38140</v>
      </c>
    </row>
    <row r="18" spans="1:8" ht="12.75">
      <c r="A18" s="1">
        <v>38163</v>
      </c>
      <c r="B18" t="s">
        <v>126</v>
      </c>
      <c r="C18">
        <v>50</v>
      </c>
      <c r="D18">
        <v>43</v>
      </c>
      <c r="E18">
        <f>AVERAGE(C14:C18)</f>
        <v>47.4</v>
      </c>
      <c r="F18">
        <f>AVERAGE(D14:D18)</f>
        <v>42.8</v>
      </c>
      <c r="G18">
        <f>F18-E18</f>
        <v>-4.600000000000001</v>
      </c>
      <c r="H18" s="1">
        <v>38162</v>
      </c>
    </row>
    <row r="19" spans="1:8" ht="12.75">
      <c r="A19" s="1">
        <v>38176</v>
      </c>
      <c r="B19" t="s">
        <v>239</v>
      </c>
      <c r="C19">
        <v>40</v>
      </c>
      <c r="D19">
        <v>42</v>
      </c>
      <c r="E19">
        <f>AVERAGE(C15:C19)</f>
        <v>45.4</v>
      </c>
      <c r="F19">
        <f>AVERAGE(D15:D19)</f>
        <v>42.8</v>
      </c>
      <c r="G19">
        <f>F19-E19</f>
        <v>-2.6000000000000014</v>
      </c>
      <c r="H19" s="1">
        <v>38167</v>
      </c>
    </row>
    <row r="20" spans="1:8" ht="12.75">
      <c r="A20" s="1">
        <v>38177</v>
      </c>
      <c r="B20" t="s">
        <v>93</v>
      </c>
      <c r="C20">
        <v>47</v>
      </c>
      <c r="D20">
        <v>44</v>
      </c>
      <c r="E20">
        <f>AVERAGE(C16:C20)</f>
        <v>45.4</v>
      </c>
      <c r="F20">
        <f>AVERAGE(D16:D20)</f>
        <v>43.4</v>
      </c>
      <c r="G20">
        <f>F20-E20</f>
        <v>-2</v>
      </c>
      <c r="H20" s="1">
        <v>38172</v>
      </c>
    </row>
    <row r="21" spans="1:8" ht="12.75">
      <c r="A21" s="1">
        <v>38177</v>
      </c>
      <c r="B21" t="s">
        <v>169</v>
      </c>
      <c r="C21">
        <v>47</v>
      </c>
      <c r="D21">
        <v>42</v>
      </c>
      <c r="E21">
        <f>AVERAGE(C17:C21)</f>
        <v>45.2</v>
      </c>
      <c r="F21">
        <f>AVERAGE(D17:D21)</f>
        <v>42.8</v>
      </c>
      <c r="G21">
        <f>F21-E21</f>
        <v>-2.4000000000000057</v>
      </c>
      <c r="H21" s="1">
        <v>38174</v>
      </c>
    </row>
    <row r="22" spans="1:8" ht="12.75">
      <c r="A22" s="1">
        <v>38179</v>
      </c>
      <c r="B22" t="s">
        <v>274</v>
      </c>
      <c r="C22">
        <v>43</v>
      </c>
      <c r="D22">
        <v>48</v>
      </c>
      <c r="E22">
        <f>AVERAGE(C18:C22)</f>
        <v>45.4</v>
      </c>
      <c r="F22">
        <f>AVERAGE(D18:D22)</f>
        <v>43.8</v>
      </c>
      <c r="G22">
        <f>F22-E22</f>
        <v>-1.6000000000000014</v>
      </c>
      <c r="H22" s="1">
        <v>38177</v>
      </c>
    </row>
    <row r="23" spans="1:8" ht="12.75">
      <c r="A23" s="1">
        <v>38200</v>
      </c>
      <c r="B23" t="s">
        <v>126</v>
      </c>
      <c r="C23">
        <v>49</v>
      </c>
      <c r="D23">
        <v>44</v>
      </c>
      <c r="E23">
        <f>AVERAGE(C19:C23)</f>
        <v>45.2</v>
      </c>
      <c r="F23">
        <f>AVERAGE(D19:D23)</f>
        <v>44</v>
      </c>
      <c r="G23">
        <f>F23-E23</f>
        <v>-1.2000000000000028</v>
      </c>
      <c r="H23" s="1">
        <v>38198</v>
      </c>
    </row>
    <row r="24" spans="1:8" ht="12.75">
      <c r="A24" s="1">
        <v>38207</v>
      </c>
      <c r="B24" t="s">
        <v>169</v>
      </c>
      <c r="C24">
        <v>50</v>
      </c>
      <c r="D24">
        <v>44</v>
      </c>
      <c r="E24">
        <f>AVERAGE(C20:C24)</f>
        <v>47.2</v>
      </c>
      <c r="F24">
        <f>AVERAGE(D20:D24)</f>
        <v>44.4</v>
      </c>
      <c r="G24">
        <f>F24-E24</f>
        <v>-2.8000000000000043</v>
      </c>
      <c r="H24" s="1">
        <v>38205</v>
      </c>
    </row>
    <row r="25" spans="1:8" ht="12.75">
      <c r="A25" s="1">
        <v>38219</v>
      </c>
      <c r="B25" t="s">
        <v>93</v>
      </c>
      <c r="C25">
        <v>50</v>
      </c>
      <c r="D25">
        <v>40</v>
      </c>
      <c r="E25">
        <f>AVERAGE(C21:C25)</f>
        <v>47.8</v>
      </c>
      <c r="F25">
        <f>AVERAGE(D21:D25)</f>
        <v>43.6</v>
      </c>
      <c r="G25">
        <f>F25-E25</f>
        <v>-4.199999999999996</v>
      </c>
      <c r="H25" s="1">
        <v>38215</v>
      </c>
    </row>
    <row r="26" spans="1:8" ht="12.75">
      <c r="A26" s="1">
        <v>38240</v>
      </c>
      <c r="B26" t="s">
        <v>109</v>
      </c>
      <c r="C26">
        <v>48</v>
      </c>
      <c r="D26">
        <v>44</v>
      </c>
      <c r="E26">
        <f>AVERAGE(C22:C26)</f>
        <v>48</v>
      </c>
      <c r="F26">
        <f>AVERAGE(D22:D26)</f>
        <v>44</v>
      </c>
      <c r="G26">
        <f>F26-E26</f>
        <v>-4</v>
      </c>
      <c r="H26" s="1">
        <v>38238</v>
      </c>
    </row>
    <row r="27" spans="1:8" ht="12.75">
      <c r="A27" s="1">
        <v>38242</v>
      </c>
      <c r="B27" t="s">
        <v>169</v>
      </c>
      <c r="C27">
        <v>51</v>
      </c>
      <c r="D27">
        <v>46</v>
      </c>
      <c r="E27">
        <f>AVERAGE(C23:C27)</f>
        <v>49.6</v>
      </c>
      <c r="F27">
        <f>AVERAGE(D23:D27)</f>
        <v>43.6</v>
      </c>
      <c r="G27">
        <f>F27-E27</f>
        <v>-6</v>
      </c>
      <c r="H27" s="1">
        <v>38240</v>
      </c>
    </row>
    <row r="28" spans="1:8" ht="12.75">
      <c r="A28" s="1">
        <v>38243</v>
      </c>
      <c r="B28" t="s">
        <v>41</v>
      </c>
      <c r="C28">
        <v>48.5</v>
      </c>
      <c r="D28">
        <v>42.4</v>
      </c>
      <c r="E28">
        <f>AVERAGE(C24:C28)</f>
        <v>49.5</v>
      </c>
      <c r="F28">
        <f>AVERAGE(D24:D28)</f>
        <v>43.28</v>
      </c>
      <c r="G28">
        <f>F28-E28</f>
        <v>-6.219999999999999</v>
      </c>
      <c r="H28" s="1">
        <v>38241</v>
      </c>
    </row>
    <row r="29" spans="1:8" ht="12.75">
      <c r="A29" s="1">
        <v>38247</v>
      </c>
      <c r="B29" t="s">
        <v>59</v>
      </c>
      <c r="C29">
        <v>50</v>
      </c>
      <c r="D29">
        <v>45</v>
      </c>
      <c r="E29">
        <f>AVERAGE(C25:C29)</f>
        <v>49.5</v>
      </c>
      <c r="F29">
        <f>AVERAGE(D25:D29)</f>
        <v>43.480000000000004</v>
      </c>
      <c r="G29">
        <f>F29-E29</f>
        <v>-6.019999999999996</v>
      </c>
      <c r="H29" s="1">
        <v>38242</v>
      </c>
    </row>
    <row r="30" spans="1:8" ht="12.75">
      <c r="A30" s="1">
        <v>38249</v>
      </c>
      <c r="B30" t="s">
        <v>193</v>
      </c>
      <c r="C30">
        <v>49</v>
      </c>
      <c r="D30">
        <v>45</v>
      </c>
      <c r="E30">
        <f>AVERAGE(C26:C30)</f>
        <v>49.3</v>
      </c>
      <c r="F30">
        <f>AVERAGE(D26:D30)</f>
        <v>44.480000000000004</v>
      </c>
      <c r="G30">
        <f>F30-E30</f>
        <v>-4.819999999999993</v>
      </c>
      <c r="H30" s="1">
        <v>38247</v>
      </c>
    </row>
    <row r="31" spans="1:8" ht="12.75">
      <c r="A31" s="1">
        <v>38256</v>
      </c>
      <c r="B31" t="s">
        <v>193</v>
      </c>
      <c r="C31">
        <v>47</v>
      </c>
      <c r="D31">
        <v>46</v>
      </c>
      <c r="E31">
        <f>AVERAGE(C27:C31)</f>
        <v>49.1</v>
      </c>
      <c r="F31">
        <f>AVERAGE(D27:D31)</f>
        <v>44.88</v>
      </c>
      <c r="G31">
        <f>F31-E31</f>
        <v>-4.219999999999999</v>
      </c>
      <c r="H31" s="1">
        <v>38253</v>
      </c>
    </row>
    <row r="32" spans="1:8" ht="12.75">
      <c r="A32" s="1">
        <v>38256</v>
      </c>
      <c r="B32" t="s">
        <v>126</v>
      </c>
      <c r="C32">
        <v>48</v>
      </c>
      <c r="D32">
        <v>46</v>
      </c>
      <c r="E32">
        <f>AVERAGE(C28:C32)</f>
        <v>48.5</v>
      </c>
      <c r="F32">
        <f>AVERAGE(D28:D32)</f>
        <v>44.88</v>
      </c>
      <c r="G32">
        <f>F32-E32</f>
        <v>-3.6199999999999974</v>
      </c>
      <c r="H32" s="1">
        <v>38253</v>
      </c>
    </row>
    <row r="33" spans="1:8" ht="12.75">
      <c r="A33" s="1">
        <v>38261</v>
      </c>
      <c r="B33" t="s">
        <v>109</v>
      </c>
      <c r="C33">
        <v>46</v>
      </c>
      <c r="D33">
        <v>47</v>
      </c>
      <c r="E33">
        <f>AVERAGE(C29:C33)</f>
        <v>48</v>
      </c>
      <c r="F33">
        <f>AVERAGE(D29:D33)</f>
        <v>45.8</v>
      </c>
      <c r="G33">
        <f>F33-E33</f>
        <v>-2.200000000000003</v>
      </c>
      <c r="H33" s="1">
        <v>38259</v>
      </c>
    </row>
    <row r="34" spans="1:8" ht="12.75">
      <c r="A34" s="1">
        <v>38266</v>
      </c>
      <c r="B34" t="s">
        <v>214</v>
      </c>
      <c r="C34">
        <v>47</v>
      </c>
      <c r="D34">
        <v>50</v>
      </c>
      <c r="E34">
        <f>AVERAGE(C30:C34)</f>
        <v>47.4</v>
      </c>
      <c r="F34">
        <f>AVERAGE(D30:D34)</f>
        <v>46.8</v>
      </c>
      <c r="G34">
        <f>F34-E34</f>
        <v>-0.6000000000000014</v>
      </c>
      <c r="H34" s="1">
        <v>38264</v>
      </c>
    </row>
    <row r="35" spans="1:8" ht="12.75">
      <c r="A35" s="1">
        <v>38269</v>
      </c>
      <c r="B35" t="s">
        <v>59</v>
      </c>
      <c r="C35">
        <v>49</v>
      </c>
      <c r="D35">
        <v>46</v>
      </c>
      <c r="E35">
        <f>AVERAGE(C31:C35)</f>
        <v>47.4</v>
      </c>
      <c r="F35">
        <f>AVERAGE(D31:D35)</f>
        <v>47</v>
      </c>
      <c r="G35">
        <f>F35-E35</f>
        <v>-0.3999999999999986</v>
      </c>
      <c r="H35" s="1">
        <v>38265</v>
      </c>
    </row>
    <row r="36" spans="1:8" ht="12.75">
      <c r="A36" s="1">
        <v>38273</v>
      </c>
      <c r="B36" t="s">
        <v>126</v>
      </c>
      <c r="C36">
        <v>43</v>
      </c>
      <c r="D36">
        <v>51</v>
      </c>
      <c r="E36">
        <f>AVERAGE(C32:C36)</f>
        <v>46.6</v>
      </c>
      <c r="F36">
        <f>AVERAGE(D32:D36)</f>
        <v>48</v>
      </c>
      <c r="G36">
        <f>F36-E36</f>
        <v>1.3999999999999986</v>
      </c>
      <c r="H36" s="1">
        <v>38271</v>
      </c>
    </row>
    <row r="37" spans="1:8" ht="12.75">
      <c r="A37" s="1">
        <v>38273</v>
      </c>
      <c r="B37" t="s">
        <v>214</v>
      </c>
      <c r="C37">
        <v>47</v>
      </c>
      <c r="D37">
        <v>50</v>
      </c>
      <c r="E37">
        <f>AVERAGE(C33:C37)</f>
        <v>46.4</v>
      </c>
      <c r="F37">
        <f>AVERAGE(D33:D37)</f>
        <v>48.8</v>
      </c>
      <c r="G37">
        <f>F37-E37</f>
        <v>2.3999999999999986</v>
      </c>
      <c r="H37" s="1">
        <v>38271</v>
      </c>
    </row>
    <row r="38" spans="1:8" ht="12.75">
      <c r="A38" s="1">
        <v>38274</v>
      </c>
      <c r="B38" t="s">
        <v>93</v>
      </c>
      <c r="C38">
        <v>46</v>
      </c>
      <c r="D38">
        <v>48</v>
      </c>
      <c r="E38">
        <f>AVERAGE(C34:C38)</f>
        <v>46.4</v>
      </c>
      <c r="F38">
        <f>AVERAGE(D34:D38)</f>
        <v>49</v>
      </c>
      <c r="G38">
        <f>F38-E38</f>
        <v>2.6000000000000014</v>
      </c>
      <c r="H38" s="1">
        <v>38271</v>
      </c>
    </row>
    <row r="39" spans="1:8" ht="12.75">
      <c r="A39" s="1">
        <v>38276</v>
      </c>
      <c r="B39" t="s">
        <v>41</v>
      </c>
      <c r="C39">
        <v>44.4</v>
      </c>
      <c r="D39">
        <v>50.1</v>
      </c>
      <c r="E39">
        <f>AVERAGE(C35:C39)</f>
        <v>45.88</v>
      </c>
      <c r="F39">
        <f>AVERAGE(D35:D39)</f>
        <v>49.019999999999996</v>
      </c>
      <c r="G39">
        <f>F39-E39</f>
        <v>3.1399999999999935</v>
      </c>
      <c r="H39" s="1">
        <v>38272</v>
      </c>
    </row>
    <row r="40" spans="1:8" ht="12.75">
      <c r="A40" s="1">
        <v>38275</v>
      </c>
      <c r="B40" t="s">
        <v>109</v>
      </c>
      <c r="C40">
        <v>49</v>
      </c>
      <c r="D40">
        <v>48</v>
      </c>
      <c r="E40">
        <f>AVERAGE(C36:C40)</f>
        <v>45.88</v>
      </c>
      <c r="F40">
        <f>AVERAGE(D36:D40)</f>
        <v>49.42</v>
      </c>
      <c r="G40">
        <f>F40-E40</f>
        <v>3.539999999999999</v>
      </c>
      <c r="H40" s="1">
        <v>38273</v>
      </c>
    </row>
    <row r="41" spans="1:11" ht="12.75">
      <c r="A41" s="1">
        <v>38277</v>
      </c>
      <c r="B41" t="s">
        <v>169</v>
      </c>
      <c r="C41">
        <v>46</v>
      </c>
      <c r="D41">
        <v>52</v>
      </c>
      <c r="E41">
        <f>AVERAGE(C37:C41)</f>
        <v>46.480000000000004</v>
      </c>
      <c r="F41">
        <f>AVERAGE(D37:D41)</f>
        <v>49.62</v>
      </c>
      <c r="G41">
        <f>F41-E41</f>
        <v>3.1399999999999935</v>
      </c>
      <c r="H41" s="1">
        <v>38274</v>
      </c>
      <c r="I41">
        <f>AVERAGE(C36:C41)</f>
        <v>45.9</v>
      </c>
      <c r="J41">
        <f>AVERAGE(D36:D41)</f>
        <v>49.85</v>
      </c>
      <c r="K41">
        <f>J41-I41</f>
        <v>3.950000000000003</v>
      </c>
    </row>
    <row r="42" spans="1:8" ht="12.75">
      <c r="A42" s="1">
        <v>38280</v>
      </c>
      <c r="B42" t="s">
        <v>144</v>
      </c>
      <c r="C42">
        <v>45</v>
      </c>
      <c r="D42">
        <v>44</v>
      </c>
      <c r="E42">
        <f>AVERAGE(C38:C42)</f>
        <v>46.08</v>
      </c>
      <c r="F42">
        <f>AVERAGE(D38:D42)</f>
        <v>48.42</v>
      </c>
      <c r="G42">
        <f>F42-E42</f>
        <v>2.3400000000000034</v>
      </c>
      <c r="H42" s="1">
        <v>38278</v>
      </c>
    </row>
    <row r="43" spans="1:8" ht="12.75">
      <c r="A43" s="1">
        <v>38280</v>
      </c>
      <c r="B43" t="s">
        <v>214</v>
      </c>
      <c r="C43">
        <v>44</v>
      </c>
      <c r="D43">
        <v>49</v>
      </c>
      <c r="E43">
        <f>AVERAGE(C39:C43)</f>
        <v>45.68</v>
      </c>
      <c r="F43">
        <f>AVERAGE(D39:D43)</f>
        <v>48.62</v>
      </c>
      <c r="G43">
        <f>F43-E43</f>
        <v>2.9399999999999977</v>
      </c>
      <c r="H43" s="1">
        <v>38278</v>
      </c>
    </row>
    <row r="44" spans="1:8" ht="12.75">
      <c r="A44" s="1">
        <v>38281</v>
      </c>
      <c r="B44" t="s">
        <v>41</v>
      </c>
      <c r="C44">
        <v>48</v>
      </c>
      <c r="D44">
        <v>48</v>
      </c>
      <c r="E44">
        <f>AVERAGE(C40:C44)</f>
        <v>46.4</v>
      </c>
      <c r="F44">
        <f>AVERAGE(D40:D44)</f>
        <v>48.2</v>
      </c>
      <c r="G44">
        <f>F44-E44</f>
        <v>1.8000000000000043</v>
      </c>
      <c r="H44" s="1">
        <v>38279</v>
      </c>
    </row>
    <row r="45" spans="1:8" ht="12.75">
      <c r="A45" s="1">
        <v>38285</v>
      </c>
      <c r="B45" t="s">
        <v>89</v>
      </c>
      <c r="C45">
        <v>46</v>
      </c>
      <c r="D45">
        <v>45</v>
      </c>
      <c r="E45">
        <f>AVERAGE(C41:C45)</f>
        <v>45.8</v>
      </c>
      <c r="F45">
        <f>AVERAGE(D41:D45)</f>
        <v>47.6</v>
      </c>
      <c r="G45">
        <f>F45-E45</f>
        <v>1.8000000000000043</v>
      </c>
      <c r="H45" s="1">
        <v>38282</v>
      </c>
    </row>
    <row r="46" spans="1:8" ht="12.75">
      <c r="A46" s="1">
        <v>38286</v>
      </c>
      <c r="B46" t="s">
        <v>100</v>
      </c>
      <c r="C46">
        <v>47</v>
      </c>
      <c r="D46">
        <v>48</v>
      </c>
      <c r="E46">
        <f>AVERAGE(C42:C46)</f>
        <v>46</v>
      </c>
      <c r="F46">
        <f>AVERAGE(D42:D46)</f>
        <v>46.8</v>
      </c>
      <c r="G46">
        <f>F46-E46</f>
        <v>0.7999999999999972</v>
      </c>
      <c r="H46" s="1">
        <v>38282</v>
      </c>
    </row>
    <row r="47" spans="1:8" ht="12.75">
      <c r="A47" s="1">
        <v>38287</v>
      </c>
      <c r="B47" t="s">
        <v>169</v>
      </c>
      <c r="C47">
        <v>47</v>
      </c>
      <c r="D47">
        <v>48</v>
      </c>
      <c r="E47">
        <f>AVERAGE(C43:C47)</f>
        <v>46.4</v>
      </c>
      <c r="F47">
        <f>AVERAGE(D43:D47)</f>
        <v>47.6</v>
      </c>
      <c r="G47">
        <f>F47-E47</f>
        <v>1.2000000000000028</v>
      </c>
      <c r="H47" s="1">
        <v>38285</v>
      </c>
    </row>
    <row r="48" spans="1:8" ht="12.75">
      <c r="A48" s="1">
        <v>38287</v>
      </c>
      <c r="B48" t="s">
        <v>126</v>
      </c>
      <c r="C48">
        <v>48</v>
      </c>
      <c r="D48">
        <v>48</v>
      </c>
      <c r="E48">
        <f>AVERAGE(C44:C48)</f>
        <v>47.2</v>
      </c>
      <c r="F48">
        <f>AVERAGE(D44:D48)</f>
        <v>47.4</v>
      </c>
      <c r="G48">
        <f>F48-E48</f>
        <v>0.19999999999999574</v>
      </c>
      <c r="H48" s="1">
        <v>38285</v>
      </c>
    </row>
    <row r="49" spans="1:8" ht="12.75">
      <c r="A49" s="1">
        <v>38287</v>
      </c>
      <c r="B49" t="s">
        <v>0</v>
      </c>
      <c r="C49">
        <v>46</v>
      </c>
      <c r="D49">
        <v>48</v>
      </c>
      <c r="E49">
        <f>AVERAGE(C45:C49)</f>
        <v>46.8</v>
      </c>
      <c r="F49">
        <f>AVERAGE(D45:D49)</f>
        <v>47.4</v>
      </c>
      <c r="G49">
        <f>F49-E49</f>
        <v>0.6000000000000014</v>
      </c>
      <c r="H49" s="1">
        <v>38285</v>
      </c>
    </row>
    <row r="50" spans="1:8" ht="12.75">
      <c r="A50" s="1">
        <v>38288</v>
      </c>
      <c r="B50" t="s">
        <v>214</v>
      </c>
      <c r="C50">
        <v>47</v>
      </c>
      <c r="D50">
        <v>48</v>
      </c>
      <c r="E50">
        <f>AVERAGE(C46:C50)</f>
        <v>47</v>
      </c>
      <c r="F50">
        <f>AVERAGE(D46:D50)</f>
        <v>48</v>
      </c>
      <c r="G50">
        <f>F50-E50</f>
        <v>1</v>
      </c>
      <c r="H50" s="1">
        <v>38285</v>
      </c>
    </row>
    <row r="51" spans="1:8" ht="12.75">
      <c r="A51" s="1">
        <v>38289</v>
      </c>
      <c r="B51" t="s">
        <v>109</v>
      </c>
      <c r="C51">
        <v>50</v>
      </c>
      <c r="D51">
        <v>48</v>
      </c>
      <c r="E51">
        <f>AVERAGE(C47:C51)</f>
        <v>47.6</v>
      </c>
      <c r="F51">
        <f>AVERAGE(D47:D51)</f>
        <v>48</v>
      </c>
      <c r="G51">
        <f>F51-E51</f>
        <v>0.3999999999999986</v>
      </c>
      <c r="H51" s="1">
        <v>38287</v>
      </c>
    </row>
    <row r="52" spans="1:8" ht="12.75">
      <c r="A52" s="1">
        <v>38291</v>
      </c>
      <c r="B52" t="s">
        <v>292</v>
      </c>
      <c r="C52">
        <v>50</v>
      </c>
      <c r="D52">
        <v>47</v>
      </c>
      <c r="E52">
        <f>AVERAGE(C48:C52)</f>
        <v>48.2</v>
      </c>
      <c r="F52">
        <f>AVERAGE(D48:D52)</f>
        <v>47.8</v>
      </c>
      <c r="G52">
        <f>F52-E52</f>
        <v>-0.4000000000000057</v>
      </c>
      <c r="H52" s="1">
        <v>38288</v>
      </c>
    </row>
    <row r="53" spans="1:8" ht="12.75">
      <c r="A53" s="1">
        <v>38292</v>
      </c>
      <c r="B53" t="s">
        <v>303</v>
      </c>
      <c r="C53">
        <v>47</v>
      </c>
      <c r="D53">
        <v>46</v>
      </c>
      <c r="E53">
        <f>AVERAGE(C49:C53)</f>
        <v>48</v>
      </c>
      <c r="F53">
        <f>AVERAGE(D49:D53)</f>
        <v>47.4</v>
      </c>
      <c r="G53">
        <f>F53-E53</f>
        <v>-0.6000000000000014</v>
      </c>
      <c r="H53" s="1">
        <v>38288</v>
      </c>
    </row>
    <row r="54" spans="1:8" ht="12.75">
      <c r="A54" s="1">
        <v>38291</v>
      </c>
      <c r="B54" t="s">
        <v>59</v>
      </c>
      <c r="C54">
        <v>48</v>
      </c>
      <c r="D54">
        <v>48</v>
      </c>
      <c r="E54">
        <f>AVERAGE(C50:C54)</f>
        <v>48.4</v>
      </c>
      <c r="F54">
        <f>AVERAGE(D50:D54)</f>
        <v>47.4</v>
      </c>
      <c r="G54">
        <f>F54-E54</f>
        <v>-1</v>
      </c>
      <c r="H54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3:H20"/>
  <sheetViews>
    <sheetView zoomScalePageLayoutView="0" workbookViewId="0" topLeftCell="A1">
      <selection activeCell="C16" sqref="C16"/>
    </sheetView>
  </sheetViews>
  <sheetFormatPr defaultColWidth="11.00390625" defaultRowHeight="12.75"/>
  <sheetData>
    <row r="3" spans="3:7" ht="12.75">
      <c r="C3" s="3" t="s">
        <v>63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47</v>
      </c>
      <c r="D5">
        <v>39</v>
      </c>
      <c r="E5">
        <f aca="true" t="shared" si="0" ref="E5:F20">AVERAGE(C1:C5)</f>
        <v>47</v>
      </c>
      <c r="F5">
        <f t="shared" si="0"/>
        <v>39</v>
      </c>
      <c r="G5">
        <f aca="true" t="shared" si="1" ref="G5:G20">F5-E5</f>
        <v>-8</v>
      </c>
      <c r="H5" s="1">
        <v>38044</v>
      </c>
    </row>
    <row r="6" spans="1:8" ht="12.75">
      <c r="A6" s="1">
        <v>38087</v>
      </c>
      <c r="B6" t="s">
        <v>169</v>
      </c>
      <c r="C6">
        <v>48</v>
      </c>
      <c r="D6">
        <v>43</v>
      </c>
      <c r="E6">
        <f t="shared" si="0"/>
        <v>47.5</v>
      </c>
      <c r="F6">
        <f t="shared" si="0"/>
        <v>41</v>
      </c>
      <c r="G6">
        <f t="shared" si="1"/>
        <v>-6.5</v>
      </c>
      <c r="H6" s="1">
        <v>38082</v>
      </c>
    </row>
    <row r="7" spans="1:8" ht="12.75">
      <c r="A7" s="1">
        <v>38170</v>
      </c>
      <c r="B7" t="s">
        <v>169</v>
      </c>
      <c r="C7">
        <v>43</v>
      </c>
      <c r="D7">
        <v>48</v>
      </c>
      <c r="E7">
        <f t="shared" si="0"/>
        <v>46</v>
      </c>
      <c r="F7">
        <f t="shared" si="0"/>
        <v>43.333333333333336</v>
      </c>
      <c r="G7">
        <f t="shared" si="1"/>
        <v>-2.6666666666666643</v>
      </c>
      <c r="H7" s="1">
        <v>38170</v>
      </c>
    </row>
    <row r="8" spans="1:8" ht="12.75">
      <c r="A8" s="1">
        <v>38199</v>
      </c>
      <c r="B8" t="s">
        <v>169</v>
      </c>
      <c r="C8">
        <v>47</v>
      </c>
      <c r="D8">
        <v>47</v>
      </c>
      <c r="E8">
        <f t="shared" si="0"/>
        <v>46.25</v>
      </c>
      <c r="F8">
        <f t="shared" si="0"/>
        <v>44.25</v>
      </c>
      <c r="G8">
        <f t="shared" si="1"/>
        <v>-2</v>
      </c>
      <c r="H8" s="1">
        <v>38196</v>
      </c>
    </row>
    <row r="9" spans="1:8" ht="12.75">
      <c r="A9" s="1">
        <v>38239</v>
      </c>
      <c r="B9" t="s">
        <v>169</v>
      </c>
      <c r="C9">
        <v>53</v>
      </c>
      <c r="D9">
        <v>42</v>
      </c>
      <c r="E9">
        <f t="shared" si="0"/>
        <v>47.6</v>
      </c>
      <c r="F9">
        <f t="shared" si="0"/>
        <v>43.8</v>
      </c>
      <c r="G9">
        <f t="shared" si="1"/>
        <v>-3.8000000000000043</v>
      </c>
      <c r="H9" s="1">
        <v>38237</v>
      </c>
    </row>
    <row r="10" spans="1:8" ht="12.75">
      <c r="A10" s="1">
        <v>38247</v>
      </c>
      <c r="B10" t="s">
        <v>59</v>
      </c>
      <c r="C10">
        <v>49</v>
      </c>
      <c r="D10">
        <v>47</v>
      </c>
      <c r="E10">
        <f t="shared" si="0"/>
        <v>48</v>
      </c>
      <c r="F10">
        <f t="shared" si="0"/>
        <v>45.4</v>
      </c>
      <c r="G10">
        <f t="shared" si="1"/>
        <v>-2.6000000000000014</v>
      </c>
      <c r="H10" s="1">
        <v>38242</v>
      </c>
    </row>
    <row r="11" spans="1:8" ht="12.75">
      <c r="A11" s="1">
        <v>38254</v>
      </c>
      <c r="B11" t="s">
        <v>109</v>
      </c>
      <c r="C11">
        <v>49</v>
      </c>
      <c r="D11">
        <v>40</v>
      </c>
      <c r="E11">
        <f t="shared" si="0"/>
        <v>48.2</v>
      </c>
      <c r="F11">
        <f t="shared" si="0"/>
        <v>44.8</v>
      </c>
      <c r="G11">
        <f t="shared" si="1"/>
        <v>-3.4000000000000057</v>
      </c>
      <c r="H11" s="1">
        <v>38252</v>
      </c>
    </row>
    <row r="12" spans="1:8" ht="12.75">
      <c r="A12" s="1">
        <v>38256</v>
      </c>
      <c r="B12" t="s">
        <v>81</v>
      </c>
      <c r="C12">
        <v>52</v>
      </c>
      <c r="D12">
        <v>39</v>
      </c>
      <c r="E12">
        <f t="shared" si="0"/>
        <v>50</v>
      </c>
      <c r="F12">
        <f t="shared" si="0"/>
        <v>43</v>
      </c>
      <c r="G12">
        <f t="shared" si="1"/>
        <v>-7</v>
      </c>
      <c r="H12" s="1">
        <v>38253</v>
      </c>
    </row>
    <row r="13" spans="1:8" ht="12.75">
      <c r="A13" s="1">
        <v>38262</v>
      </c>
      <c r="B13" t="s">
        <v>169</v>
      </c>
      <c r="C13">
        <v>52</v>
      </c>
      <c r="D13">
        <v>44</v>
      </c>
      <c r="E13">
        <f t="shared" si="0"/>
        <v>51</v>
      </c>
      <c r="F13">
        <f t="shared" si="0"/>
        <v>42.4</v>
      </c>
      <c r="G13">
        <f t="shared" si="1"/>
        <v>-8.600000000000001</v>
      </c>
      <c r="H13" s="1">
        <v>38260</v>
      </c>
    </row>
    <row r="14" spans="1:8" ht="12.75">
      <c r="A14" s="1">
        <v>38269</v>
      </c>
      <c r="B14" t="s">
        <v>59</v>
      </c>
      <c r="C14">
        <v>50</v>
      </c>
      <c r="D14">
        <v>45</v>
      </c>
      <c r="E14">
        <f t="shared" si="0"/>
        <v>50.4</v>
      </c>
      <c r="F14">
        <f t="shared" si="0"/>
        <v>43</v>
      </c>
      <c r="G14">
        <f t="shared" si="1"/>
        <v>-7.399999999999999</v>
      </c>
      <c r="H14" s="1">
        <v>38267</v>
      </c>
    </row>
    <row r="15" spans="1:8" ht="12.75">
      <c r="A15" s="1">
        <v>38279</v>
      </c>
      <c r="B15" t="s">
        <v>81</v>
      </c>
      <c r="C15">
        <v>49</v>
      </c>
      <c r="D15">
        <v>45</v>
      </c>
      <c r="E15">
        <f t="shared" si="0"/>
        <v>50.4</v>
      </c>
      <c r="F15">
        <f t="shared" si="0"/>
        <v>42.6</v>
      </c>
      <c r="G15">
        <f t="shared" si="1"/>
        <v>-7.799999999999997</v>
      </c>
      <c r="H15" s="1">
        <v>38275</v>
      </c>
    </row>
    <row r="16" spans="1:8" ht="12.75">
      <c r="A16" s="1">
        <v>38283</v>
      </c>
      <c r="B16" t="s">
        <v>147</v>
      </c>
      <c r="C16">
        <v>40</v>
      </c>
      <c r="D16">
        <v>44</v>
      </c>
      <c r="E16">
        <f t="shared" si="0"/>
        <v>48.6</v>
      </c>
      <c r="F16">
        <f t="shared" si="0"/>
        <v>43.4</v>
      </c>
      <c r="G16">
        <f t="shared" si="1"/>
        <v>-5.200000000000003</v>
      </c>
      <c r="H16" s="1">
        <v>38279</v>
      </c>
    </row>
    <row r="17" spans="1:8" ht="12.75">
      <c r="A17" s="1">
        <v>38288</v>
      </c>
      <c r="B17" t="s">
        <v>89</v>
      </c>
      <c r="C17">
        <v>48</v>
      </c>
      <c r="D17">
        <v>44</v>
      </c>
      <c r="E17">
        <f t="shared" si="0"/>
        <v>47.8</v>
      </c>
      <c r="F17">
        <f t="shared" si="0"/>
        <v>44.4</v>
      </c>
      <c r="G17">
        <f t="shared" si="1"/>
        <v>-3.3999999999999986</v>
      </c>
      <c r="H17" s="1">
        <v>38284</v>
      </c>
    </row>
    <row r="18" spans="1:8" ht="12.75">
      <c r="A18" s="1">
        <v>38290</v>
      </c>
      <c r="B18" t="s">
        <v>169</v>
      </c>
      <c r="C18">
        <v>50</v>
      </c>
      <c r="D18">
        <v>46</v>
      </c>
      <c r="E18">
        <f t="shared" si="0"/>
        <v>47.4</v>
      </c>
      <c r="F18">
        <f t="shared" si="0"/>
        <v>44.8</v>
      </c>
      <c r="G18">
        <f t="shared" si="1"/>
        <v>-2.6000000000000014</v>
      </c>
      <c r="H18" s="1">
        <v>38288</v>
      </c>
    </row>
    <row r="19" spans="1:8" ht="12.75">
      <c r="A19" s="1">
        <v>38291</v>
      </c>
      <c r="B19" t="s">
        <v>59</v>
      </c>
      <c r="C19">
        <v>49</v>
      </c>
      <c r="D19">
        <v>46</v>
      </c>
      <c r="E19">
        <f t="shared" si="0"/>
        <v>47.2</v>
      </c>
      <c r="F19">
        <f t="shared" si="0"/>
        <v>45</v>
      </c>
      <c r="G19">
        <f t="shared" si="1"/>
        <v>-2.200000000000003</v>
      </c>
      <c r="H19" s="1">
        <v>38289</v>
      </c>
    </row>
    <row r="20" spans="1:8" ht="12.75">
      <c r="A20" s="1">
        <v>38291</v>
      </c>
      <c r="B20" t="s">
        <v>81</v>
      </c>
      <c r="C20">
        <v>48</v>
      </c>
      <c r="D20">
        <v>44</v>
      </c>
      <c r="E20">
        <f t="shared" si="0"/>
        <v>47</v>
      </c>
      <c r="F20">
        <f t="shared" si="0"/>
        <v>44.8</v>
      </c>
      <c r="G20">
        <f t="shared" si="1"/>
        <v>-2.200000000000003</v>
      </c>
      <c r="H20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30"/>
  <sheetViews>
    <sheetView zoomScalePageLayoutView="0" workbookViewId="0" topLeftCell="A1">
      <selection activeCell="E30" sqref="E30"/>
    </sheetView>
  </sheetViews>
  <sheetFormatPr defaultColWidth="11.00390625" defaultRowHeight="12.75"/>
  <sheetData>
    <row r="3" spans="3:7" ht="12.75">
      <c r="C3" s="3" t="s">
        <v>164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37957</v>
      </c>
      <c r="B5" t="s">
        <v>126</v>
      </c>
      <c r="C5">
        <v>56</v>
      </c>
      <c r="D5">
        <v>35</v>
      </c>
      <c r="E5">
        <f aca="true" t="shared" si="0" ref="E5:E30">AVERAGE(C1:C5)</f>
        <v>56</v>
      </c>
      <c r="F5">
        <f aca="true" t="shared" si="1" ref="F5:F30">AVERAGE(D1:D5)</f>
        <v>35</v>
      </c>
      <c r="G5">
        <f aca="true" t="shared" si="2" ref="G5:G30">F5-E5</f>
        <v>-21</v>
      </c>
      <c r="H5" s="1">
        <v>37935</v>
      </c>
    </row>
    <row r="6" spans="1:8" ht="12.75">
      <c r="A6" s="1">
        <v>37974</v>
      </c>
      <c r="B6" t="s">
        <v>126</v>
      </c>
      <c r="C6">
        <v>54</v>
      </c>
      <c r="D6">
        <v>36</v>
      </c>
      <c r="E6">
        <f t="shared" si="0"/>
        <v>55</v>
      </c>
      <c r="F6">
        <f t="shared" si="1"/>
        <v>35.5</v>
      </c>
      <c r="G6">
        <f t="shared" si="2"/>
        <v>-19.5</v>
      </c>
      <c r="H6" s="1">
        <v>37969</v>
      </c>
    </row>
    <row r="7" spans="1:8" ht="12.75">
      <c r="A7" s="1">
        <v>38035</v>
      </c>
      <c r="B7" t="s">
        <v>171</v>
      </c>
      <c r="C7">
        <v>59</v>
      </c>
      <c r="D7">
        <v>31</v>
      </c>
      <c r="E7">
        <f t="shared" si="0"/>
        <v>56.333333333333336</v>
      </c>
      <c r="F7">
        <f t="shared" si="1"/>
        <v>34</v>
      </c>
      <c r="G7">
        <f t="shared" si="2"/>
        <v>-22.333333333333336</v>
      </c>
      <c r="H7" s="1">
        <v>38030</v>
      </c>
    </row>
    <row r="8" spans="1:8" ht="12.75">
      <c r="A8" s="1">
        <v>38051</v>
      </c>
      <c r="B8" t="s">
        <v>126</v>
      </c>
      <c r="C8">
        <v>54</v>
      </c>
      <c r="D8">
        <v>40</v>
      </c>
      <c r="E8">
        <f t="shared" si="0"/>
        <v>55.75</v>
      </c>
      <c r="F8">
        <f t="shared" si="1"/>
        <v>35.5</v>
      </c>
      <c r="G8">
        <f t="shared" si="2"/>
        <v>-20.25</v>
      </c>
      <c r="H8" s="1">
        <v>38044</v>
      </c>
    </row>
    <row r="9" spans="1:8" ht="12.75">
      <c r="A9" s="1">
        <v>38114</v>
      </c>
      <c r="B9" t="s">
        <v>126</v>
      </c>
      <c r="C9">
        <v>62</v>
      </c>
      <c r="D9">
        <v>35</v>
      </c>
      <c r="E9">
        <f t="shared" si="0"/>
        <v>57</v>
      </c>
      <c r="F9">
        <f t="shared" si="1"/>
        <v>35.4</v>
      </c>
      <c r="G9">
        <f t="shared" si="2"/>
        <v>-21.6</v>
      </c>
      <c r="H9" s="1">
        <v>38061</v>
      </c>
    </row>
    <row r="10" spans="1:8" ht="12.75">
      <c r="A10" s="1">
        <v>38114</v>
      </c>
      <c r="B10" t="s">
        <v>171</v>
      </c>
      <c r="C10">
        <v>57</v>
      </c>
      <c r="D10">
        <v>30</v>
      </c>
      <c r="E10">
        <f t="shared" si="0"/>
        <v>57.2</v>
      </c>
      <c r="F10">
        <f t="shared" si="1"/>
        <v>34.4</v>
      </c>
      <c r="G10">
        <f t="shared" si="2"/>
        <v>-22.800000000000004</v>
      </c>
      <c r="H10" s="1">
        <v>38072</v>
      </c>
    </row>
    <row r="11" spans="1:8" ht="12.75">
      <c r="A11" s="1">
        <v>38084</v>
      </c>
      <c r="B11" t="s">
        <v>169</v>
      </c>
      <c r="C11">
        <v>55</v>
      </c>
      <c r="D11">
        <v>37</v>
      </c>
      <c r="E11">
        <f t="shared" si="0"/>
        <v>57.4</v>
      </c>
      <c r="F11">
        <f t="shared" si="1"/>
        <v>34.6</v>
      </c>
      <c r="G11">
        <f t="shared" si="2"/>
        <v>-22.799999999999997</v>
      </c>
      <c r="H11" s="1">
        <v>38083</v>
      </c>
    </row>
    <row r="12" spans="1:8" ht="12.75">
      <c r="A12" s="1">
        <v>38094</v>
      </c>
      <c r="B12" t="s">
        <v>126</v>
      </c>
      <c r="C12">
        <v>64</v>
      </c>
      <c r="D12">
        <v>32</v>
      </c>
      <c r="E12">
        <f t="shared" si="0"/>
        <v>58.4</v>
      </c>
      <c r="F12">
        <f t="shared" si="1"/>
        <v>34.8</v>
      </c>
      <c r="G12">
        <f t="shared" si="2"/>
        <v>-23.6</v>
      </c>
      <c r="H12" s="1">
        <v>38093</v>
      </c>
    </row>
    <row r="13" spans="1:8" ht="12.75">
      <c r="A13" s="1">
        <v>38114</v>
      </c>
      <c r="B13" t="s">
        <v>189</v>
      </c>
      <c r="C13">
        <v>55</v>
      </c>
      <c r="D13">
        <v>36</v>
      </c>
      <c r="E13">
        <f t="shared" si="0"/>
        <v>58.6</v>
      </c>
      <c r="F13">
        <f t="shared" si="1"/>
        <v>34</v>
      </c>
      <c r="G13">
        <f t="shared" si="2"/>
        <v>-24.6</v>
      </c>
      <c r="H13" s="1">
        <v>38100</v>
      </c>
    </row>
    <row r="14" spans="1:8" ht="12.75">
      <c r="A14" s="1">
        <v>38141</v>
      </c>
      <c r="B14" t="s">
        <v>126</v>
      </c>
      <c r="C14">
        <v>57</v>
      </c>
      <c r="D14">
        <v>34</v>
      </c>
      <c r="E14">
        <f t="shared" si="0"/>
        <v>57.6</v>
      </c>
      <c r="F14">
        <f t="shared" si="1"/>
        <v>33.8</v>
      </c>
      <c r="G14">
        <f t="shared" si="2"/>
        <v>-23.800000000000004</v>
      </c>
      <c r="H14" s="1">
        <v>38124</v>
      </c>
    </row>
    <row r="15" spans="1:8" ht="12.75">
      <c r="A15" s="1">
        <v>38135</v>
      </c>
      <c r="B15" t="s">
        <v>169</v>
      </c>
      <c r="C15">
        <v>60</v>
      </c>
      <c r="D15">
        <v>32</v>
      </c>
      <c r="E15">
        <f t="shared" si="0"/>
        <v>58.2</v>
      </c>
      <c r="F15">
        <f t="shared" si="1"/>
        <v>34.2</v>
      </c>
      <c r="G15">
        <f t="shared" si="2"/>
        <v>-24</v>
      </c>
      <c r="H15" s="1">
        <v>38133</v>
      </c>
    </row>
    <row r="16" spans="1:8" ht="12.75">
      <c r="A16" s="1">
        <v>38149</v>
      </c>
      <c r="B16" t="s">
        <v>189</v>
      </c>
      <c r="C16">
        <v>57</v>
      </c>
      <c r="D16">
        <v>33</v>
      </c>
      <c r="E16">
        <f t="shared" si="0"/>
        <v>58.6</v>
      </c>
      <c r="F16">
        <f t="shared" si="1"/>
        <v>33.4</v>
      </c>
      <c r="G16">
        <f t="shared" si="2"/>
        <v>-25.200000000000003</v>
      </c>
      <c r="H16" s="1">
        <v>38139</v>
      </c>
    </row>
    <row r="17" spans="1:8" ht="12.75">
      <c r="A17" s="1">
        <v>38178</v>
      </c>
      <c r="B17" t="s">
        <v>189</v>
      </c>
      <c r="C17">
        <v>49</v>
      </c>
      <c r="D17">
        <v>36</v>
      </c>
      <c r="E17">
        <f t="shared" si="0"/>
        <v>55.6</v>
      </c>
      <c r="F17">
        <f t="shared" si="1"/>
        <v>34.2</v>
      </c>
      <c r="G17">
        <f t="shared" si="2"/>
        <v>-21.4</v>
      </c>
      <c r="H17" s="1">
        <v>38163</v>
      </c>
    </row>
    <row r="18" spans="1:8" ht="12.75">
      <c r="A18" s="1">
        <v>38168</v>
      </c>
      <c r="B18" t="s">
        <v>169</v>
      </c>
      <c r="C18">
        <v>51</v>
      </c>
      <c r="D18">
        <v>36</v>
      </c>
      <c r="E18">
        <f t="shared" si="0"/>
        <v>54.8</v>
      </c>
      <c r="F18">
        <f t="shared" si="1"/>
        <v>34.2</v>
      </c>
      <c r="G18">
        <f t="shared" si="2"/>
        <v>-20.599999999999994</v>
      </c>
      <c r="H18" s="1">
        <v>38167</v>
      </c>
    </row>
    <row r="19" spans="1:8" ht="12.75">
      <c r="A19" s="1">
        <v>38176</v>
      </c>
      <c r="B19" t="s">
        <v>239</v>
      </c>
      <c r="C19">
        <v>47</v>
      </c>
      <c r="D19">
        <v>36</v>
      </c>
      <c r="E19">
        <f t="shared" si="0"/>
        <v>52.8</v>
      </c>
      <c r="F19">
        <f t="shared" si="1"/>
        <v>34.6</v>
      </c>
      <c r="G19">
        <f t="shared" si="2"/>
        <v>-18.199999999999996</v>
      </c>
      <c r="H19" s="1">
        <v>38167</v>
      </c>
    </row>
    <row r="20" spans="1:8" ht="12.75">
      <c r="A20" s="1">
        <v>38203</v>
      </c>
      <c r="B20" t="s">
        <v>169</v>
      </c>
      <c r="C20">
        <v>58</v>
      </c>
      <c r="D20">
        <v>38</v>
      </c>
      <c r="E20">
        <f t="shared" si="0"/>
        <v>52.4</v>
      </c>
      <c r="F20">
        <f t="shared" si="1"/>
        <v>35.8</v>
      </c>
      <c r="G20">
        <f t="shared" si="2"/>
        <v>-16.6</v>
      </c>
      <c r="H20" s="1">
        <v>38198</v>
      </c>
    </row>
    <row r="21" spans="1:8" ht="12.75">
      <c r="A21" s="1">
        <v>38206</v>
      </c>
      <c r="B21" t="s">
        <v>189</v>
      </c>
      <c r="C21">
        <v>47</v>
      </c>
      <c r="D21">
        <v>34</v>
      </c>
      <c r="E21">
        <f t="shared" si="0"/>
        <v>50.4</v>
      </c>
      <c r="F21">
        <f t="shared" si="1"/>
        <v>36</v>
      </c>
      <c r="G21">
        <f t="shared" si="2"/>
        <v>-14.399999999999999</v>
      </c>
      <c r="H21" s="1">
        <v>38202</v>
      </c>
    </row>
    <row r="22" spans="1:8" ht="12.75">
      <c r="A22" s="1">
        <v>38241</v>
      </c>
      <c r="B22" t="s">
        <v>189</v>
      </c>
      <c r="C22">
        <v>55</v>
      </c>
      <c r="D22">
        <v>35</v>
      </c>
      <c r="E22">
        <f t="shared" si="0"/>
        <v>51.6</v>
      </c>
      <c r="F22">
        <f t="shared" si="1"/>
        <v>35.8</v>
      </c>
      <c r="G22">
        <f t="shared" si="2"/>
        <v>-15.800000000000004</v>
      </c>
      <c r="H22" s="1">
        <v>38238</v>
      </c>
    </row>
    <row r="23" spans="1:8" ht="12.75">
      <c r="A23" s="1">
        <v>38247</v>
      </c>
      <c r="B23" t="s">
        <v>59</v>
      </c>
      <c r="C23">
        <v>58</v>
      </c>
      <c r="D23">
        <v>36</v>
      </c>
      <c r="E23">
        <f t="shared" si="0"/>
        <v>53</v>
      </c>
      <c r="F23">
        <f t="shared" si="1"/>
        <v>35.8</v>
      </c>
      <c r="G23">
        <f t="shared" si="2"/>
        <v>-17.200000000000003</v>
      </c>
      <c r="H23" s="1">
        <v>38242</v>
      </c>
    </row>
    <row r="24" spans="1:8" ht="12.75">
      <c r="A24" s="1">
        <v>38252</v>
      </c>
      <c r="B24" t="s">
        <v>171</v>
      </c>
      <c r="C24">
        <v>52</v>
      </c>
      <c r="D24">
        <v>25</v>
      </c>
      <c r="E24">
        <f t="shared" si="0"/>
        <v>54</v>
      </c>
      <c r="F24">
        <f t="shared" si="1"/>
        <v>33.6</v>
      </c>
      <c r="G24">
        <f t="shared" si="2"/>
        <v>-20.4</v>
      </c>
      <c r="H24" s="1">
        <v>38245</v>
      </c>
    </row>
    <row r="25" spans="1:8" ht="12.75">
      <c r="A25" s="1">
        <v>38249</v>
      </c>
      <c r="B25" t="s">
        <v>126</v>
      </c>
      <c r="C25">
        <v>64</v>
      </c>
      <c r="D25">
        <v>34</v>
      </c>
      <c r="E25">
        <f t="shared" si="0"/>
        <v>55.2</v>
      </c>
      <c r="F25">
        <f t="shared" si="1"/>
        <v>32.8</v>
      </c>
      <c r="G25">
        <f t="shared" si="2"/>
        <v>-22.400000000000006</v>
      </c>
      <c r="H25" s="1">
        <v>38246</v>
      </c>
    </row>
    <row r="26" spans="1:8" ht="12.75">
      <c r="A26" s="1">
        <v>38254</v>
      </c>
      <c r="B26" t="s">
        <v>169</v>
      </c>
      <c r="C26">
        <v>60</v>
      </c>
      <c r="D26">
        <v>39</v>
      </c>
      <c r="E26">
        <f t="shared" si="0"/>
        <v>57.8</v>
      </c>
      <c r="F26">
        <f t="shared" si="1"/>
        <v>33.8</v>
      </c>
      <c r="G26">
        <f t="shared" si="2"/>
        <v>-24</v>
      </c>
      <c r="H26" s="1">
        <v>38252</v>
      </c>
    </row>
    <row r="27" spans="1:8" ht="12.75">
      <c r="A27" s="1">
        <v>38275</v>
      </c>
      <c r="B27" t="s">
        <v>189</v>
      </c>
      <c r="C27">
        <v>55</v>
      </c>
      <c r="D27">
        <v>35</v>
      </c>
      <c r="E27">
        <f t="shared" si="0"/>
        <v>57.8</v>
      </c>
      <c r="F27">
        <f t="shared" si="1"/>
        <v>33.8</v>
      </c>
      <c r="G27">
        <f t="shared" si="2"/>
        <v>-24</v>
      </c>
      <c r="H27" s="1">
        <v>38266</v>
      </c>
    </row>
    <row r="28" spans="1:10" ht="12.75">
      <c r="A28" s="1">
        <v>38270</v>
      </c>
      <c r="B28" t="s">
        <v>126</v>
      </c>
      <c r="C28">
        <v>62</v>
      </c>
      <c r="D28">
        <v>35</v>
      </c>
      <c r="E28">
        <f t="shared" si="0"/>
        <v>58.6</v>
      </c>
      <c r="F28">
        <f t="shared" si="1"/>
        <v>33.6</v>
      </c>
      <c r="G28">
        <f t="shared" si="2"/>
        <v>-25</v>
      </c>
      <c r="H28" s="1">
        <v>38268</v>
      </c>
      <c r="J28">
        <f>62-35</f>
        <v>27</v>
      </c>
    </row>
    <row r="29" spans="1:8" ht="12.75">
      <c r="A29" s="1">
        <v>38283</v>
      </c>
      <c r="B29" t="s">
        <v>189</v>
      </c>
      <c r="C29">
        <v>54</v>
      </c>
      <c r="D29">
        <v>34</v>
      </c>
      <c r="E29">
        <f t="shared" si="0"/>
        <v>59</v>
      </c>
      <c r="F29">
        <f t="shared" si="1"/>
        <v>35.4</v>
      </c>
      <c r="G29">
        <f t="shared" si="2"/>
        <v>-23.6</v>
      </c>
      <c r="H29" s="1">
        <v>38280</v>
      </c>
    </row>
    <row r="30" spans="1:8" ht="12.75">
      <c r="A30" s="1">
        <v>38289</v>
      </c>
      <c r="B30" t="s">
        <v>126</v>
      </c>
      <c r="C30">
        <v>61</v>
      </c>
      <c r="D30">
        <v>36</v>
      </c>
      <c r="E30">
        <f t="shared" si="0"/>
        <v>58.4</v>
      </c>
      <c r="F30">
        <f t="shared" si="1"/>
        <v>35.8</v>
      </c>
      <c r="G30">
        <f t="shared" si="2"/>
        <v>-22.6</v>
      </c>
      <c r="H30" s="1">
        <v>38287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C9" sqref="C9"/>
    </sheetView>
  </sheetViews>
  <sheetFormatPr defaultColWidth="11.00390625" defaultRowHeight="12.75"/>
  <sheetData>
    <row r="3" spans="3:7" ht="12.75">
      <c r="C3" s="3" t="s">
        <v>65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45</v>
      </c>
      <c r="D5">
        <v>42</v>
      </c>
      <c r="E5">
        <f aca="true" t="shared" si="0" ref="E5:F13">AVERAGE(C1:C5)</f>
        <v>45</v>
      </c>
      <c r="F5">
        <f t="shared" si="0"/>
        <v>42</v>
      </c>
      <c r="G5">
        <f aca="true" t="shared" si="1" ref="G5:G13">F5-E5</f>
        <v>-3</v>
      </c>
      <c r="H5" s="1">
        <v>38044</v>
      </c>
    </row>
    <row r="6" spans="1:8" ht="12.75">
      <c r="A6" s="1">
        <v>38125</v>
      </c>
      <c r="B6" t="s">
        <v>169</v>
      </c>
      <c r="C6">
        <v>50</v>
      </c>
      <c r="D6">
        <v>39</v>
      </c>
      <c r="E6">
        <f t="shared" si="0"/>
        <v>47.5</v>
      </c>
      <c r="F6">
        <f t="shared" si="0"/>
        <v>40.5</v>
      </c>
      <c r="G6">
        <f t="shared" si="1"/>
        <v>-7</v>
      </c>
      <c r="H6" s="1">
        <v>38121</v>
      </c>
    </row>
    <row r="7" spans="1:8" ht="12.75">
      <c r="A7" s="1">
        <v>38139</v>
      </c>
      <c r="B7" t="s">
        <v>126</v>
      </c>
      <c r="C7">
        <v>49</v>
      </c>
      <c r="D7">
        <v>40</v>
      </c>
      <c r="E7">
        <f t="shared" si="0"/>
        <v>48</v>
      </c>
      <c r="F7">
        <f t="shared" si="0"/>
        <v>40.333333333333336</v>
      </c>
      <c r="G7">
        <f t="shared" si="1"/>
        <v>-7.666666666666664</v>
      </c>
      <c r="H7" s="1">
        <v>38124</v>
      </c>
    </row>
    <row r="8" spans="1:8" ht="12.75">
      <c r="A8" s="1">
        <v>38158</v>
      </c>
      <c r="B8" t="s">
        <v>169</v>
      </c>
      <c r="C8">
        <v>45</v>
      </c>
      <c r="D8">
        <v>42</v>
      </c>
      <c r="E8">
        <f t="shared" si="0"/>
        <v>47.25</v>
      </c>
      <c r="F8">
        <f t="shared" si="0"/>
        <v>40.75</v>
      </c>
      <c r="G8">
        <f t="shared" si="1"/>
        <v>-6.5</v>
      </c>
      <c r="H8" s="1">
        <v>38126</v>
      </c>
    </row>
    <row r="9" spans="1:8" ht="12.75">
      <c r="A9" s="1">
        <v>38134</v>
      </c>
      <c r="B9" t="s">
        <v>81</v>
      </c>
      <c r="C9">
        <v>57</v>
      </c>
      <c r="D9">
        <v>29</v>
      </c>
      <c r="E9">
        <f t="shared" si="0"/>
        <v>49.2</v>
      </c>
      <c r="F9">
        <f t="shared" si="0"/>
        <v>38.4</v>
      </c>
      <c r="G9">
        <f t="shared" si="1"/>
        <v>-10.800000000000004</v>
      </c>
      <c r="H9" s="1">
        <v>38127</v>
      </c>
    </row>
    <row r="10" spans="1:8" ht="12.75">
      <c r="A10" s="1">
        <v>38163</v>
      </c>
      <c r="B10" t="s">
        <v>169</v>
      </c>
      <c r="C10">
        <v>52</v>
      </c>
      <c r="D10">
        <v>36</v>
      </c>
      <c r="E10">
        <f t="shared" si="0"/>
        <v>50.6</v>
      </c>
      <c r="F10">
        <f t="shared" si="0"/>
        <v>37.2</v>
      </c>
      <c r="G10">
        <f t="shared" si="1"/>
        <v>-13.399999999999999</v>
      </c>
      <c r="H10" s="1">
        <v>38160</v>
      </c>
    </row>
    <row r="11" spans="1:8" ht="12.75">
      <c r="A11" s="1">
        <v>38198</v>
      </c>
      <c r="B11" t="s">
        <v>169</v>
      </c>
      <c r="C11">
        <v>55</v>
      </c>
      <c r="D11">
        <v>36</v>
      </c>
      <c r="E11">
        <f t="shared" si="0"/>
        <v>51.6</v>
      </c>
      <c r="F11">
        <f t="shared" si="0"/>
        <v>36.6</v>
      </c>
      <c r="G11">
        <f t="shared" si="1"/>
        <v>-15</v>
      </c>
      <c r="H11" s="1">
        <v>38195</v>
      </c>
    </row>
    <row r="12" spans="1:8" ht="12.75">
      <c r="A12" s="1">
        <v>38247</v>
      </c>
      <c r="B12" t="s">
        <v>59</v>
      </c>
      <c r="C12">
        <v>60</v>
      </c>
      <c r="D12">
        <v>34</v>
      </c>
      <c r="E12">
        <f t="shared" si="0"/>
        <v>53.8</v>
      </c>
      <c r="F12">
        <f t="shared" si="0"/>
        <v>35.4</v>
      </c>
      <c r="G12">
        <f t="shared" si="1"/>
        <v>-18.4</v>
      </c>
      <c r="H12" s="1">
        <v>38244</v>
      </c>
    </row>
    <row r="13" spans="1:8" ht="12.75">
      <c r="A13" s="1">
        <v>38262</v>
      </c>
      <c r="B13" t="s">
        <v>169</v>
      </c>
      <c r="C13">
        <v>56</v>
      </c>
      <c r="D13">
        <v>37</v>
      </c>
      <c r="E13">
        <f t="shared" si="0"/>
        <v>56</v>
      </c>
      <c r="F13">
        <f t="shared" si="0"/>
        <v>34.4</v>
      </c>
      <c r="G13">
        <f t="shared" si="1"/>
        <v>-21.6</v>
      </c>
      <c r="H13" s="1">
        <v>38260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3:H47"/>
  <sheetViews>
    <sheetView zoomScalePageLayoutView="0" workbookViewId="0" topLeftCell="A1">
      <selection activeCell="H48" sqref="H48"/>
    </sheetView>
  </sheetViews>
  <sheetFormatPr defaultColWidth="11.00390625" defaultRowHeight="12.75"/>
  <sheetData>
    <row r="3" spans="3:7" ht="12.75">
      <c r="C3" s="3" t="s">
        <v>66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38091</v>
      </c>
      <c r="B5" t="s">
        <v>208</v>
      </c>
      <c r="C5">
        <v>43</v>
      </c>
      <c r="D5">
        <v>46</v>
      </c>
      <c r="E5">
        <f>AVERAGE(C1:C5)</f>
        <v>43</v>
      </c>
      <c r="F5">
        <f>AVERAGE(D1:D5)</f>
        <v>46</v>
      </c>
      <c r="G5">
        <f>F5-E5</f>
        <v>3</v>
      </c>
      <c r="H5" s="1">
        <v>37943</v>
      </c>
    </row>
    <row r="6" spans="1:8" ht="12.75">
      <c r="A6" s="1">
        <v>38091</v>
      </c>
      <c r="B6" t="s">
        <v>206</v>
      </c>
      <c r="C6">
        <v>46</v>
      </c>
      <c r="D6">
        <v>39</v>
      </c>
      <c r="E6">
        <f>AVERAGE(C2:C6)</f>
        <v>44.5</v>
      </c>
      <c r="F6">
        <f>AVERAGE(D2:D6)</f>
        <v>42.5</v>
      </c>
      <c r="G6">
        <f>F6-E6</f>
        <v>-2</v>
      </c>
      <c r="H6" s="1">
        <v>37959</v>
      </c>
    </row>
    <row r="7" spans="1:8" ht="12.75">
      <c r="A7" s="1">
        <v>38091</v>
      </c>
      <c r="B7" t="s">
        <v>169</v>
      </c>
      <c r="C7">
        <v>38</v>
      </c>
      <c r="D7">
        <v>50</v>
      </c>
      <c r="E7">
        <f>AVERAGE(C3:C7)</f>
        <v>42.333333333333336</v>
      </c>
      <c r="F7">
        <f>AVERAGE(D3:D7)</f>
        <v>45</v>
      </c>
      <c r="G7">
        <f>F7-E7</f>
        <v>2.6666666666666643</v>
      </c>
      <c r="H7" s="1">
        <v>38028</v>
      </c>
    </row>
    <row r="8" spans="1:8" ht="12.75">
      <c r="A8" s="1">
        <v>38051</v>
      </c>
      <c r="B8" t="s">
        <v>126</v>
      </c>
      <c r="C8">
        <v>41</v>
      </c>
      <c r="D8">
        <v>46</v>
      </c>
      <c r="E8">
        <f>AVERAGE(C4:C8)</f>
        <v>42</v>
      </c>
      <c r="F8">
        <f>AVERAGE(D4:D8)</f>
        <v>45.25</v>
      </c>
      <c r="G8">
        <f>F8-E8</f>
        <v>3.25</v>
      </c>
      <c r="H8" s="1">
        <v>38044</v>
      </c>
    </row>
    <row r="9" spans="1:8" ht="12.75">
      <c r="A9" s="1">
        <v>38070</v>
      </c>
      <c r="B9" t="s">
        <v>169</v>
      </c>
      <c r="C9">
        <v>41</v>
      </c>
      <c r="D9">
        <v>45</v>
      </c>
      <c r="E9">
        <f>AVERAGE(C5:C9)</f>
        <v>41.8</v>
      </c>
      <c r="F9">
        <f>AVERAGE(D5:D9)</f>
        <v>45.2</v>
      </c>
      <c r="G9">
        <f>F9-E9</f>
        <v>3.4000000000000057</v>
      </c>
      <c r="H9" s="1">
        <v>38064</v>
      </c>
    </row>
    <row r="10" spans="1:8" ht="12.75">
      <c r="A10" s="1">
        <v>38100</v>
      </c>
      <c r="B10" t="s">
        <v>169</v>
      </c>
      <c r="C10">
        <v>48</v>
      </c>
      <c r="D10">
        <v>43</v>
      </c>
      <c r="E10">
        <f>AVERAGE(C6:C10)</f>
        <v>42.8</v>
      </c>
      <c r="F10">
        <f>AVERAGE(D6:D10)</f>
        <v>44.6</v>
      </c>
      <c r="G10">
        <f>F10-E10</f>
        <v>1.8000000000000043</v>
      </c>
      <c r="H10" s="1">
        <v>38097</v>
      </c>
    </row>
    <row r="11" spans="1:8" ht="12.75">
      <c r="A11" s="1">
        <v>38129</v>
      </c>
      <c r="B11" t="s">
        <v>169</v>
      </c>
      <c r="C11">
        <v>46</v>
      </c>
      <c r="D11">
        <v>40</v>
      </c>
      <c r="E11">
        <f>AVERAGE(C7:C11)</f>
        <v>42.8</v>
      </c>
      <c r="F11">
        <f>AVERAGE(D7:D11)</f>
        <v>44.8</v>
      </c>
      <c r="G11">
        <f>F11-E11</f>
        <v>2</v>
      </c>
      <c r="H11" s="1">
        <v>38128</v>
      </c>
    </row>
    <row r="12" spans="1:8" ht="12.75">
      <c r="A12" s="1">
        <v>38153</v>
      </c>
      <c r="B12" t="s">
        <v>206</v>
      </c>
      <c r="C12">
        <v>44</v>
      </c>
      <c r="D12">
        <v>42</v>
      </c>
      <c r="E12">
        <f>AVERAGE(C8:C12)</f>
        <v>44</v>
      </c>
      <c r="F12">
        <f>AVERAGE(D8:D12)</f>
        <v>43.2</v>
      </c>
      <c r="G12">
        <f>F12-E12</f>
        <v>-0.7999999999999972</v>
      </c>
      <c r="H12" s="1">
        <v>38153</v>
      </c>
    </row>
    <row r="13" spans="1:8" ht="12.75">
      <c r="A13" s="1">
        <v>38158</v>
      </c>
      <c r="B13" t="s">
        <v>169</v>
      </c>
      <c r="C13">
        <v>45</v>
      </c>
      <c r="D13">
        <v>42</v>
      </c>
      <c r="E13">
        <f>AVERAGE(C9:C13)</f>
        <v>44.8</v>
      </c>
      <c r="F13">
        <f>AVERAGE(D9:D13)</f>
        <v>42.4</v>
      </c>
      <c r="G13">
        <f>F13-E13</f>
        <v>-2.3999999999999986</v>
      </c>
      <c r="H13" s="1">
        <v>38157</v>
      </c>
    </row>
    <row r="14" spans="1:8" ht="12.75">
      <c r="A14" s="1">
        <v>38176</v>
      </c>
      <c r="B14" t="s">
        <v>239</v>
      </c>
      <c r="C14">
        <v>38</v>
      </c>
      <c r="D14">
        <v>38</v>
      </c>
      <c r="E14">
        <f>AVERAGE(C10:C14)</f>
        <v>44.2</v>
      </c>
      <c r="F14">
        <f>AVERAGE(D10:D14)</f>
        <v>41</v>
      </c>
      <c r="G14">
        <f>F14-E14</f>
        <v>-3.200000000000003</v>
      </c>
      <c r="H14" s="1">
        <v>38167</v>
      </c>
    </row>
    <row r="15" spans="1:8" ht="12.75">
      <c r="A15" s="1">
        <v>38186</v>
      </c>
      <c r="B15" t="s">
        <v>169</v>
      </c>
      <c r="C15">
        <v>45</v>
      </c>
      <c r="D15">
        <v>47</v>
      </c>
      <c r="E15">
        <f>AVERAGE(C11:C15)</f>
        <v>43.6</v>
      </c>
      <c r="F15">
        <f>AVERAGE(D11:D15)</f>
        <v>41.8</v>
      </c>
      <c r="G15">
        <f>F15-E15</f>
        <v>-1.8000000000000043</v>
      </c>
      <c r="H15" s="1">
        <v>38183</v>
      </c>
    </row>
    <row r="16" spans="1:8" ht="12.75">
      <c r="A16" s="1">
        <v>38212</v>
      </c>
      <c r="B16" t="s">
        <v>169</v>
      </c>
      <c r="C16">
        <v>48</v>
      </c>
      <c r="D16">
        <v>45</v>
      </c>
      <c r="E16">
        <f>AVERAGE(C12:C16)</f>
        <v>44</v>
      </c>
      <c r="F16">
        <f>AVERAGE(D12:D16)</f>
        <v>42.8</v>
      </c>
      <c r="G16">
        <f>F16-E16</f>
        <v>-1.2000000000000028</v>
      </c>
      <c r="H16" s="1">
        <v>38209</v>
      </c>
    </row>
    <row r="17" spans="1:8" ht="12.75">
      <c r="A17" s="1">
        <v>38223</v>
      </c>
      <c r="B17" t="s">
        <v>206</v>
      </c>
      <c r="C17">
        <v>47</v>
      </c>
      <c r="D17">
        <v>41</v>
      </c>
      <c r="E17">
        <f>AVERAGE(C13:C17)</f>
        <v>44.6</v>
      </c>
      <c r="F17">
        <f>AVERAGE(D13:D17)</f>
        <v>42.6</v>
      </c>
      <c r="G17">
        <f>F17-E17</f>
        <v>-2</v>
      </c>
      <c r="H17" s="1">
        <v>38213</v>
      </c>
    </row>
    <row r="18" spans="1:8" ht="12.75">
      <c r="A18" s="1">
        <v>38221</v>
      </c>
      <c r="B18" t="s">
        <v>41</v>
      </c>
      <c r="C18">
        <v>38</v>
      </c>
      <c r="D18">
        <v>39</v>
      </c>
      <c r="E18">
        <f>AVERAGE(C14:C18)</f>
        <v>43.2</v>
      </c>
      <c r="F18">
        <f>AVERAGE(D14:D18)</f>
        <v>42</v>
      </c>
      <c r="G18">
        <f>F18-E18</f>
        <v>-1.2000000000000028</v>
      </c>
      <c r="H18" s="1">
        <v>38217</v>
      </c>
    </row>
    <row r="19" spans="1:8" ht="12.75">
      <c r="A19" s="1">
        <v>38220</v>
      </c>
      <c r="B19" t="s">
        <v>208</v>
      </c>
      <c r="C19">
        <v>43</v>
      </c>
      <c r="D19">
        <v>44</v>
      </c>
      <c r="E19">
        <f>AVERAGE(C15:C19)</f>
        <v>44.2</v>
      </c>
      <c r="F19">
        <f>AVERAGE(D15:D19)</f>
        <v>43.2</v>
      </c>
      <c r="G19">
        <f>F19-E19</f>
        <v>-1</v>
      </c>
      <c r="H19" s="1">
        <v>38218</v>
      </c>
    </row>
    <row r="20" spans="1:8" ht="12.75">
      <c r="A20" s="1">
        <v>38226</v>
      </c>
      <c r="B20" t="s">
        <v>109</v>
      </c>
      <c r="C20">
        <v>41</v>
      </c>
      <c r="D20">
        <v>41</v>
      </c>
      <c r="E20">
        <f>AVERAGE(C16:C20)</f>
        <v>43.4</v>
      </c>
      <c r="F20">
        <f>AVERAGE(D16:D20)</f>
        <v>42</v>
      </c>
      <c r="G20">
        <f>F20-E20</f>
        <v>-1.3999999999999986</v>
      </c>
      <c r="H20" s="1">
        <v>38224</v>
      </c>
    </row>
    <row r="21" spans="1:8" ht="12.75">
      <c r="A21" s="1">
        <v>38241</v>
      </c>
      <c r="B21" t="s">
        <v>289</v>
      </c>
      <c r="C21">
        <v>46</v>
      </c>
      <c r="D21">
        <v>45</v>
      </c>
      <c r="E21">
        <f>AVERAGE(C17:C21)</f>
        <v>43</v>
      </c>
      <c r="F21">
        <f>AVERAGE(D17:D21)</f>
        <v>42</v>
      </c>
      <c r="G21">
        <f>F21-E21</f>
        <v>-1</v>
      </c>
      <c r="H21" s="1">
        <v>38239</v>
      </c>
    </row>
    <row r="22" spans="1:8" ht="12.75">
      <c r="A22" s="1">
        <v>38242</v>
      </c>
      <c r="B22" t="s">
        <v>169</v>
      </c>
      <c r="C22">
        <v>49</v>
      </c>
      <c r="D22">
        <v>46</v>
      </c>
      <c r="E22">
        <f>AVERAGE(C18:C22)</f>
        <v>43.4</v>
      </c>
      <c r="F22">
        <f>AVERAGE(D18:D22)</f>
        <v>43</v>
      </c>
      <c r="G22">
        <f>F22-E22</f>
        <v>-0.3999999999999986</v>
      </c>
      <c r="H22" s="1">
        <v>38240</v>
      </c>
    </row>
    <row r="23" spans="1:8" ht="12.75">
      <c r="A23" s="1">
        <v>38243</v>
      </c>
      <c r="B23" t="s">
        <v>41</v>
      </c>
      <c r="C23">
        <v>50.1</v>
      </c>
      <c r="D23">
        <v>42.5</v>
      </c>
      <c r="E23">
        <f>AVERAGE(C19:C23)</f>
        <v>45.82</v>
      </c>
      <c r="F23">
        <f>AVERAGE(D19:D23)</f>
        <v>43.7</v>
      </c>
      <c r="G23">
        <f>F23-E23</f>
        <v>-2.1199999999999974</v>
      </c>
      <c r="H23" s="1">
        <v>38241</v>
      </c>
    </row>
    <row r="24" spans="1:8" ht="12.75">
      <c r="A24" s="1">
        <v>38247</v>
      </c>
      <c r="B24" t="s">
        <v>59</v>
      </c>
      <c r="C24">
        <v>49</v>
      </c>
      <c r="D24">
        <v>46</v>
      </c>
      <c r="E24">
        <f>AVERAGE(C20:C24)</f>
        <v>47.019999999999996</v>
      </c>
      <c r="F24">
        <f>AVERAGE(D20:D24)</f>
        <v>44.1</v>
      </c>
      <c r="G24">
        <f>F24-E24</f>
        <v>-2.9199999999999946</v>
      </c>
      <c r="H24" s="1">
        <v>38242</v>
      </c>
    </row>
    <row r="25" spans="1:8" ht="12.75">
      <c r="A25" s="1">
        <v>38254</v>
      </c>
      <c r="B25" t="s">
        <v>174</v>
      </c>
      <c r="C25">
        <v>45</v>
      </c>
      <c r="D25">
        <v>47</v>
      </c>
      <c r="E25">
        <f>AVERAGE(C21:C25)</f>
        <v>47.82</v>
      </c>
      <c r="F25">
        <f>AVERAGE(D21:D25)</f>
        <v>45.3</v>
      </c>
      <c r="G25">
        <f>F25-E25</f>
        <v>-2.520000000000003</v>
      </c>
      <c r="H25" s="1">
        <v>38248</v>
      </c>
    </row>
    <row r="26" spans="1:8" ht="12.75">
      <c r="A26" s="1">
        <v>38252</v>
      </c>
      <c r="B26" t="s">
        <v>144</v>
      </c>
      <c r="C26">
        <v>46</v>
      </c>
      <c r="D26">
        <v>45</v>
      </c>
      <c r="E26">
        <f>AVERAGE(C22:C26)</f>
        <v>47.82</v>
      </c>
      <c r="F26">
        <f>AVERAGE(D22:D26)</f>
        <v>45.3</v>
      </c>
      <c r="G26">
        <f>F26-E26</f>
        <v>-2.520000000000003</v>
      </c>
      <c r="H26" s="1">
        <v>38250</v>
      </c>
    </row>
    <row r="27" spans="1:8" ht="12.75">
      <c r="A27" s="1">
        <v>38260</v>
      </c>
      <c r="B27" t="s">
        <v>59</v>
      </c>
      <c r="C27">
        <v>49</v>
      </c>
      <c r="D27">
        <v>47</v>
      </c>
      <c r="E27">
        <f>AVERAGE(C23:C27)</f>
        <v>47.82</v>
      </c>
      <c r="F27">
        <f>AVERAGE(D23:D27)</f>
        <v>45.5</v>
      </c>
      <c r="G27">
        <f>F27-E27</f>
        <v>-2.3200000000000003</v>
      </c>
      <c r="H27" s="1">
        <v>38258</v>
      </c>
    </row>
    <row r="28" spans="1:8" ht="12.75">
      <c r="A28" s="1">
        <v>38261</v>
      </c>
      <c r="B28" t="s">
        <v>109</v>
      </c>
      <c r="C28">
        <v>44</v>
      </c>
      <c r="D28">
        <v>49</v>
      </c>
      <c r="E28">
        <f>AVERAGE(C24:C28)</f>
        <v>46.6</v>
      </c>
      <c r="F28">
        <f>AVERAGE(D24:D28)</f>
        <v>46.8</v>
      </c>
      <c r="G28">
        <f>F28-E28</f>
        <v>0.19999999999999574</v>
      </c>
      <c r="H28" s="1">
        <v>38259</v>
      </c>
    </row>
    <row r="29" spans="1:8" ht="12.75">
      <c r="A29" s="1">
        <v>38262</v>
      </c>
      <c r="B29" t="s">
        <v>289</v>
      </c>
      <c r="C29">
        <v>47</v>
      </c>
      <c r="D29">
        <v>48</v>
      </c>
      <c r="E29">
        <f>AVERAGE(C25:C29)</f>
        <v>46.2</v>
      </c>
      <c r="F29">
        <f>AVERAGE(D25:D29)</f>
        <v>47.2</v>
      </c>
      <c r="G29">
        <f>F29-E29</f>
        <v>1</v>
      </c>
      <c r="H29" s="1">
        <v>38259</v>
      </c>
    </row>
    <row r="30" spans="1:8" ht="12.75">
      <c r="A30" s="1">
        <v>38263</v>
      </c>
      <c r="B30" t="s">
        <v>169</v>
      </c>
      <c r="C30">
        <v>47</v>
      </c>
      <c r="D30">
        <v>51</v>
      </c>
      <c r="E30">
        <f>AVERAGE(C26:C30)</f>
        <v>46.6</v>
      </c>
      <c r="F30">
        <f>AVERAGE(D26:D30)</f>
        <v>48</v>
      </c>
      <c r="G30">
        <f>F30-E30</f>
        <v>1.3999999999999986</v>
      </c>
      <c r="H30" s="1">
        <v>38261</v>
      </c>
    </row>
    <row r="31" spans="1:8" ht="12.75">
      <c r="A31" s="1">
        <v>38267</v>
      </c>
      <c r="B31" t="s">
        <v>165</v>
      </c>
      <c r="C31">
        <v>43</v>
      </c>
      <c r="D31">
        <v>50</v>
      </c>
      <c r="E31">
        <f>AVERAGE(C27:C31)</f>
        <v>46</v>
      </c>
      <c r="F31">
        <f>AVERAGE(D27:D31)</f>
        <v>49</v>
      </c>
      <c r="G31">
        <f>F31-E31</f>
        <v>3</v>
      </c>
      <c r="H31" s="1">
        <v>38265</v>
      </c>
    </row>
    <row r="32" spans="1:8" ht="12.75">
      <c r="A32" s="1">
        <v>38267</v>
      </c>
      <c r="B32" t="s">
        <v>289</v>
      </c>
      <c r="C32">
        <v>47</v>
      </c>
      <c r="D32">
        <v>49</v>
      </c>
      <c r="E32">
        <f>AVERAGE(C28:C32)</f>
        <v>45.6</v>
      </c>
      <c r="F32">
        <f>AVERAGE(D28:D32)</f>
        <v>49.4</v>
      </c>
      <c r="G32">
        <f>F32-E32</f>
        <v>3.799999999999997</v>
      </c>
      <c r="H32" s="1">
        <v>38265</v>
      </c>
    </row>
    <row r="33" spans="1:8" ht="12.75">
      <c r="A33" s="1">
        <v>38273</v>
      </c>
      <c r="B33" t="s">
        <v>206</v>
      </c>
      <c r="C33">
        <v>45</v>
      </c>
      <c r="D33">
        <v>47</v>
      </c>
      <c r="E33">
        <f>AVERAGE(C29:C33)</f>
        <v>45.8</v>
      </c>
      <c r="F33">
        <f>AVERAGE(D29:D33)</f>
        <v>49</v>
      </c>
      <c r="G33">
        <f>F33-E33</f>
        <v>3.200000000000003</v>
      </c>
      <c r="H33" s="1">
        <v>38268</v>
      </c>
    </row>
    <row r="34" spans="1:8" ht="12.75">
      <c r="A34" s="1">
        <v>38276</v>
      </c>
      <c r="B34" t="s">
        <v>248</v>
      </c>
      <c r="C34">
        <v>44</v>
      </c>
      <c r="D34">
        <v>47</v>
      </c>
      <c r="E34">
        <f>AVERAGE(C30:C34)</f>
        <v>45.2</v>
      </c>
      <c r="F34">
        <f>AVERAGE(D30:D34)</f>
        <v>48.8</v>
      </c>
      <c r="G34">
        <f>F34-E34</f>
        <v>3.5999999999999943</v>
      </c>
      <c r="H34" s="1">
        <v>38270</v>
      </c>
    </row>
    <row r="35" spans="1:8" ht="12.75">
      <c r="A35" s="1">
        <v>38275</v>
      </c>
      <c r="B35" t="s">
        <v>289</v>
      </c>
      <c r="C35">
        <v>46</v>
      </c>
      <c r="D35">
        <v>49</v>
      </c>
      <c r="E35">
        <f>AVERAGE(C31:C35)</f>
        <v>45</v>
      </c>
      <c r="F35">
        <f>AVERAGE(D31:D35)</f>
        <v>48.4</v>
      </c>
      <c r="G35">
        <f>F35-E35</f>
        <v>3.3999999999999986</v>
      </c>
      <c r="H35" s="1">
        <v>38272</v>
      </c>
    </row>
    <row r="36" spans="1:8" ht="12.75">
      <c r="A36" s="1">
        <v>38276</v>
      </c>
      <c r="B36" t="s">
        <v>41</v>
      </c>
      <c r="C36">
        <v>47.1</v>
      </c>
      <c r="D36">
        <v>47.5</v>
      </c>
      <c r="E36">
        <f>AVERAGE(C32:C36)</f>
        <v>45.82</v>
      </c>
      <c r="F36">
        <f>AVERAGE(D32:D36)</f>
        <v>47.9</v>
      </c>
      <c r="G36">
        <f>F36-E36</f>
        <v>2.0799999999999983</v>
      </c>
      <c r="H36" s="1">
        <v>38272</v>
      </c>
    </row>
    <row r="37" spans="1:8" ht="12.75">
      <c r="A37" s="1">
        <v>38277</v>
      </c>
      <c r="B37" t="s">
        <v>169</v>
      </c>
      <c r="C37">
        <v>45</v>
      </c>
      <c r="D37">
        <v>50</v>
      </c>
      <c r="E37">
        <f>AVERAGE(C33:C37)</f>
        <v>45.42</v>
      </c>
      <c r="F37">
        <f>AVERAGE(D33:D37)</f>
        <v>48.1</v>
      </c>
      <c r="G37">
        <f>F37-E37</f>
        <v>2.6799999999999997</v>
      </c>
      <c r="H37" s="1">
        <v>38275</v>
      </c>
    </row>
    <row r="38" spans="1:8" ht="12.75">
      <c r="A38" s="1">
        <v>38281</v>
      </c>
      <c r="B38" t="s">
        <v>292</v>
      </c>
      <c r="C38">
        <v>47</v>
      </c>
      <c r="D38">
        <v>47</v>
      </c>
      <c r="E38">
        <f>AVERAGE(C34:C38)</f>
        <v>45.82</v>
      </c>
      <c r="F38">
        <f>AVERAGE(D34:D38)</f>
        <v>48.1</v>
      </c>
      <c r="G38">
        <f>F38-E38</f>
        <v>2.280000000000001</v>
      </c>
      <c r="H38" s="1">
        <v>38278</v>
      </c>
    </row>
    <row r="39" spans="1:8" ht="12.75">
      <c r="A39" s="1">
        <v>38281</v>
      </c>
      <c r="B39" t="s">
        <v>41</v>
      </c>
      <c r="C39">
        <v>52</v>
      </c>
      <c r="D39">
        <v>44</v>
      </c>
      <c r="E39">
        <f>AVERAGE(C35:C39)</f>
        <v>47.42</v>
      </c>
      <c r="F39">
        <f>AVERAGE(D35:D39)</f>
        <v>47.5</v>
      </c>
      <c r="G39">
        <f>F39-E39</f>
        <v>0.0799999999999983</v>
      </c>
      <c r="H39" s="1">
        <v>38279</v>
      </c>
    </row>
    <row r="40" spans="1:8" ht="12.75">
      <c r="A40" s="1">
        <v>38282</v>
      </c>
      <c r="B40" t="s">
        <v>109</v>
      </c>
      <c r="C40">
        <v>46</v>
      </c>
      <c r="D40">
        <v>51</v>
      </c>
      <c r="E40">
        <f>AVERAGE(C36:C40)</f>
        <v>47.42</v>
      </c>
      <c r="F40">
        <f>AVERAGE(D36:D40)</f>
        <v>47.9</v>
      </c>
      <c r="G40">
        <f>F40-E40</f>
        <v>0.4799999999999969</v>
      </c>
      <c r="H40" s="1">
        <v>38280</v>
      </c>
    </row>
    <row r="41" spans="1:8" ht="12.75">
      <c r="A41" s="1">
        <v>38287</v>
      </c>
      <c r="B41" t="s">
        <v>0</v>
      </c>
      <c r="C41">
        <v>44</v>
      </c>
      <c r="D41">
        <v>48</v>
      </c>
      <c r="E41">
        <f>AVERAGE(C37:C41)</f>
        <v>46.8</v>
      </c>
      <c r="F41">
        <f>AVERAGE(D37:D41)</f>
        <v>48</v>
      </c>
      <c r="G41">
        <f>F41-E41</f>
        <v>1.2000000000000028</v>
      </c>
      <c r="H41" s="1">
        <v>38285</v>
      </c>
    </row>
    <row r="42" spans="1:8" ht="12.75">
      <c r="A42" s="1">
        <v>38288</v>
      </c>
      <c r="B42" t="s">
        <v>4</v>
      </c>
      <c r="C42">
        <v>40</v>
      </c>
      <c r="D42">
        <v>52</v>
      </c>
      <c r="E42">
        <f>AVERAGE(C38:C42)</f>
        <v>45.8</v>
      </c>
      <c r="F42">
        <f>AVERAGE(D38:D42)</f>
        <v>48.4</v>
      </c>
      <c r="G42">
        <f>F42-E42</f>
        <v>2.6000000000000014</v>
      </c>
      <c r="H42" s="1">
        <v>38285</v>
      </c>
    </row>
    <row r="43" spans="1:8" ht="12.75">
      <c r="A43" s="1">
        <v>38288</v>
      </c>
      <c r="B43" t="s">
        <v>169</v>
      </c>
      <c r="C43">
        <v>46</v>
      </c>
      <c r="D43">
        <v>50</v>
      </c>
      <c r="E43">
        <f>AVERAGE(C39:C43)</f>
        <v>45.6</v>
      </c>
      <c r="F43">
        <f>AVERAGE(D39:D43)</f>
        <v>49</v>
      </c>
      <c r="G43">
        <f>F43-E43</f>
        <v>3.3999999999999986</v>
      </c>
      <c r="H43" s="1">
        <v>38286</v>
      </c>
    </row>
    <row r="44" spans="1:8" ht="12.75">
      <c r="A44" s="1">
        <v>38288</v>
      </c>
      <c r="B44" t="s">
        <v>144</v>
      </c>
      <c r="C44">
        <v>40</v>
      </c>
      <c r="D44">
        <v>50</v>
      </c>
      <c r="E44">
        <f>AVERAGE(C40:C44)</f>
        <v>43.2</v>
      </c>
      <c r="F44">
        <f>AVERAGE(D40:D44)</f>
        <v>50.2</v>
      </c>
      <c r="G44">
        <f>F44-E44</f>
        <v>7</v>
      </c>
      <c r="H44" s="1">
        <v>38286</v>
      </c>
    </row>
    <row r="45" spans="1:8" ht="12.75">
      <c r="A45" s="1">
        <v>38289</v>
      </c>
      <c r="B45" t="s">
        <v>109</v>
      </c>
      <c r="C45">
        <v>45</v>
      </c>
      <c r="D45">
        <v>52</v>
      </c>
      <c r="E45">
        <f>AVERAGE(C41:C45)</f>
        <v>43</v>
      </c>
      <c r="F45">
        <f>AVERAGE(D41:D45)</f>
        <v>50.4</v>
      </c>
      <c r="G45">
        <f>F45-E45</f>
        <v>7.399999999999999</v>
      </c>
      <c r="H45" s="1">
        <v>38287</v>
      </c>
    </row>
    <row r="46" spans="1:8" ht="12.75">
      <c r="A46" s="1">
        <v>38289</v>
      </c>
      <c r="B46" t="s">
        <v>208</v>
      </c>
      <c r="C46">
        <v>45</v>
      </c>
      <c r="D46">
        <v>50</v>
      </c>
      <c r="E46">
        <f>AVERAGE(C42:C46)</f>
        <v>43.2</v>
      </c>
      <c r="F46">
        <f>AVERAGE(D42:D46)</f>
        <v>50.8</v>
      </c>
      <c r="G46">
        <f>F46-E46</f>
        <v>7.599999999999994</v>
      </c>
      <c r="H46" s="1">
        <v>38287</v>
      </c>
    </row>
    <row r="47" spans="1:8" ht="12.75">
      <c r="A47" s="1">
        <v>38292</v>
      </c>
      <c r="B47" t="s">
        <v>303</v>
      </c>
      <c r="C47">
        <v>43</v>
      </c>
      <c r="D47">
        <v>47</v>
      </c>
      <c r="E47">
        <f>AVERAGE(C43:C47)</f>
        <v>43.8</v>
      </c>
      <c r="F47">
        <f>AVERAGE(D43:D47)</f>
        <v>49.8</v>
      </c>
      <c r="G47">
        <f>F47-E47</f>
        <v>6</v>
      </c>
      <c r="H47" s="1">
        <v>38288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3:K54"/>
  <sheetViews>
    <sheetView zoomScalePageLayoutView="0" workbookViewId="0" topLeftCell="A4">
      <selection activeCell="H55" sqref="H55"/>
    </sheetView>
  </sheetViews>
  <sheetFormatPr defaultColWidth="11.00390625" defaultRowHeight="12.75"/>
  <sheetData>
    <row r="3" spans="3:7" ht="12.75">
      <c r="C3" s="3" t="s">
        <v>72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38091</v>
      </c>
      <c r="B5" t="s">
        <v>208</v>
      </c>
      <c r="C5">
        <v>40</v>
      </c>
      <c r="D5">
        <v>50</v>
      </c>
      <c r="E5">
        <f>AVERAGE(C1:C5)</f>
        <v>40</v>
      </c>
      <c r="F5">
        <f>AVERAGE(D1:D5)</f>
        <v>50</v>
      </c>
      <c r="G5">
        <f>F5-E5</f>
        <v>10</v>
      </c>
      <c r="H5" s="1">
        <v>37966</v>
      </c>
    </row>
    <row r="6" spans="1:8" ht="12.75">
      <c r="A6" s="1">
        <v>38091</v>
      </c>
      <c r="B6" t="s">
        <v>169</v>
      </c>
      <c r="C6">
        <v>36</v>
      </c>
      <c r="D6">
        <v>49</v>
      </c>
      <c r="E6">
        <f>AVERAGE(C2:C6)</f>
        <v>38</v>
      </c>
      <c r="F6">
        <f>AVERAGE(D2:D6)</f>
        <v>49.5</v>
      </c>
      <c r="G6">
        <f>F6-E6</f>
        <v>11.5</v>
      </c>
      <c r="H6" s="1">
        <v>38027</v>
      </c>
    </row>
    <row r="7" spans="1:8" ht="12.75">
      <c r="A7" s="1">
        <v>38051</v>
      </c>
      <c r="B7" t="s">
        <v>126</v>
      </c>
      <c r="C7">
        <v>44</v>
      </c>
      <c r="D7">
        <v>46</v>
      </c>
      <c r="E7">
        <f>AVERAGE(C3:C7)</f>
        <v>40</v>
      </c>
      <c r="F7">
        <f>AVERAGE(D3:D7)</f>
        <v>48.333333333333336</v>
      </c>
      <c r="G7">
        <f>F7-E7</f>
        <v>8.333333333333336</v>
      </c>
      <c r="H7" s="1">
        <v>38044</v>
      </c>
    </row>
    <row r="8" spans="1:8" ht="12.75">
      <c r="A8" s="1">
        <v>38091</v>
      </c>
      <c r="B8" t="s">
        <v>169</v>
      </c>
      <c r="C8">
        <v>46</v>
      </c>
      <c r="D8">
        <v>43</v>
      </c>
      <c r="E8">
        <f>AVERAGE(C4:C8)</f>
        <v>41.5</v>
      </c>
      <c r="F8">
        <f>AVERAGE(D4:D8)</f>
        <v>47</v>
      </c>
      <c r="G8">
        <f>F8-E8</f>
        <v>5.5</v>
      </c>
      <c r="H8" s="1">
        <v>38061</v>
      </c>
    </row>
    <row r="9" spans="1:8" ht="12.75">
      <c r="A9" s="1">
        <v>38108</v>
      </c>
      <c r="B9" t="s">
        <v>169</v>
      </c>
      <c r="C9">
        <v>51</v>
      </c>
      <c r="D9">
        <v>41</v>
      </c>
      <c r="E9">
        <f>AVERAGE(C5:C9)</f>
        <v>43.4</v>
      </c>
      <c r="F9">
        <f>AVERAGE(D5:D9)</f>
        <v>45.8</v>
      </c>
      <c r="G9">
        <f>F9-E9</f>
        <v>2.3999999999999986</v>
      </c>
      <c r="H9" s="1">
        <v>38106</v>
      </c>
    </row>
    <row r="10" spans="1:8" ht="12.75">
      <c r="A10" s="1">
        <v>38110</v>
      </c>
      <c r="B10" t="s">
        <v>102</v>
      </c>
      <c r="C10">
        <v>49</v>
      </c>
      <c r="D10">
        <v>43</v>
      </c>
      <c r="E10">
        <f>AVERAGE(C6:C10)</f>
        <v>45.2</v>
      </c>
      <c r="F10">
        <f>AVERAGE(D6:D10)</f>
        <v>44.4</v>
      </c>
      <c r="G10">
        <f>F10-E10</f>
        <v>-0.8000000000000043</v>
      </c>
      <c r="H10" s="1">
        <v>38106</v>
      </c>
    </row>
    <row r="11" spans="1:8" ht="12.75">
      <c r="A11" s="1">
        <v>38130</v>
      </c>
      <c r="B11" t="s">
        <v>153</v>
      </c>
      <c r="C11">
        <v>42</v>
      </c>
      <c r="D11">
        <v>39</v>
      </c>
      <c r="E11">
        <f>AVERAGE(C7:C11)</f>
        <v>46.4</v>
      </c>
      <c r="F11">
        <f>AVERAGE(D7:D11)</f>
        <v>42.4</v>
      </c>
      <c r="G11">
        <f>F11-E11</f>
        <v>-4</v>
      </c>
      <c r="H11" s="1">
        <v>38108</v>
      </c>
    </row>
    <row r="12" spans="1:8" ht="12.75">
      <c r="A12" s="1">
        <v>38129</v>
      </c>
      <c r="B12" t="s">
        <v>169</v>
      </c>
      <c r="C12">
        <v>43</v>
      </c>
      <c r="D12">
        <v>48</v>
      </c>
      <c r="E12">
        <f>AVERAGE(C8:C12)</f>
        <v>46.2</v>
      </c>
      <c r="F12">
        <f>AVERAGE(D8:D12)</f>
        <v>42.8</v>
      </c>
      <c r="G12">
        <f>F12-E12</f>
        <v>-3.4000000000000057</v>
      </c>
      <c r="H12" s="1">
        <v>38127</v>
      </c>
    </row>
    <row r="13" spans="1:8" ht="12.75">
      <c r="A13" s="1">
        <v>38156</v>
      </c>
      <c r="B13" t="s">
        <v>59</v>
      </c>
      <c r="C13">
        <v>39</v>
      </c>
      <c r="D13">
        <v>51</v>
      </c>
      <c r="E13">
        <f>AVERAGE(C9:C13)</f>
        <v>44.8</v>
      </c>
      <c r="F13">
        <f>AVERAGE(D9:D13)</f>
        <v>44.4</v>
      </c>
      <c r="G13">
        <f>F13-E13</f>
        <v>-0.3999999999999986</v>
      </c>
      <c r="H13" s="1">
        <v>38154</v>
      </c>
    </row>
    <row r="14" spans="1:8" ht="12.75">
      <c r="A14" s="1">
        <v>38158</v>
      </c>
      <c r="B14" t="s">
        <v>169</v>
      </c>
      <c r="C14">
        <v>39</v>
      </c>
      <c r="D14">
        <v>50</v>
      </c>
      <c r="E14">
        <f>AVERAGE(C10:C14)</f>
        <v>42.4</v>
      </c>
      <c r="F14">
        <f>AVERAGE(D10:D14)</f>
        <v>46.2</v>
      </c>
      <c r="G14">
        <f>F14-E14</f>
        <v>3.8000000000000043</v>
      </c>
      <c r="H14" s="1">
        <v>38155</v>
      </c>
    </row>
    <row r="15" spans="1:8" ht="12.75">
      <c r="A15" s="1">
        <v>38176</v>
      </c>
      <c r="B15" t="s">
        <v>239</v>
      </c>
      <c r="C15">
        <v>37</v>
      </c>
      <c r="D15">
        <v>40</v>
      </c>
      <c r="E15">
        <f>AVERAGE(C11:C15)</f>
        <v>40</v>
      </c>
      <c r="F15">
        <f>AVERAGE(D11:D15)</f>
        <v>45.6</v>
      </c>
      <c r="G15">
        <f>F15-E15</f>
        <v>5.600000000000001</v>
      </c>
      <c r="H15" s="1">
        <v>38167</v>
      </c>
    </row>
    <row r="16" spans="1:8" ht="12.75">
      <c r="A16" s="1">
        <v>38189</v>
      </c>
      <c r="B16" t="s">
        <v>102</v>
      </c>
      <c r="C16">
        <v>43</v>
      </c>
      <c r="D16">
        <v>46</v>
      </c>
      <c r="E16">
        <f>AVERAGE(C12:C16)</f>
        <v>40.2</v>
      </c>
      <c r="F16">
        <f>AVERAGE(D12:D16)</f>
        <v>47</v>
      </c>
      <c r="G16">
        <f>F16-E16</f>
        <v>6.799999999999997</v>
      </c>
      <c r="H16" s="1">
        <v>38187</v>
      </c>
    </row>
    <row r="17" spans="1:8" ht="12.75">
      <c r="A17" s="1">
        <v>38190</v>
      </c>
      <c r="B17" t="s">
        <v>59</v>
      </c>
      <c r="C17">
        <v>45</v>
      </c>
      <c r="D17">
        <v>47</v>
      </c>
      <c r="E17">
        <f>AVERAGE(C13:C17)</f>
        <v>40.6</v>
      </c>
      <c r="F17">
        <f>AVERAGE(D13:D17)</f>
        <v>46.8</v>
      </c>
      <c r="G17">
        <f>F17-E17</f>
        <v>6.199999999999996</v>
      </c>
      <c r="H17" s="1">
        <v>38188</v>
      </c>
    </row>
    <row r="18" spans="1:8" ht="12.75">
      <c r="A18" s="1">
        <v>38192</v>
      </c>
      <c r="B18" t="s">
        <v>169</v>
      </c>
      <c r="C18">
        <v>45</v>
      </c>
      <c r="D18">
        <v>49</v>
      </c>
      <c r="E18">
        <f>AVERAGE(C14:C18)</f>
        <v>41.8</v>
      </c>
      <c r="F18">
        <f>AVERAGE(D14:D18)</f>
        <v>46.4</v>
      </c>
      <c r="G18">
        <f>F18-E18</f>
        <v>4.600000000000001</v>
      </c>
      <c r="H18" s="1">
        <v>38190</v>
      </c>
    </row>
    <row r="19" spans="1:8" ht="12.75">
      <c r="A19" s="1">
        <v>38219</v>
      </c>
      <c r="B19" t="s">
        <v>169</v>
      </c>
      <c r="C19">
        <v>46</v>
      </c>
      <c r="D19">
        <v>47</v>
      </c>
      <c r="E19">
        <f>AVERAGE(C15:C19)</f>
        <v>43.2</v>
      </c>
      <c r="F19">
        <f>AVERAGE(D15:D19)</f>
        <v>45.8</v>
      </c>
      <c r="G19">
        <f>F19-E19</f>
        <v>2.5999999999999943</v>
      </c>
      <c r="H19" s="1">
        <v>38217</v>
      </c>
    </row>
    <row r="20" spans="1:8" ht="12.75">
      <c r="A20" s="1">
        <v>38221</v>
      </c>
      <c r="B20" t="s">
        <v>41</v>
      </c>
      <c r="C20">
        <v>42</v>
      </c>
      <c r="D20">
        <v>38</v>
      </c>
      <c r="E20">
        <f>AVERAGE(C16:C20)</f>
        <v>44.2</v>
      </c>
      <c r="F20">
        <f>AVERAGE(D16:D20)</f>
        <v>45.4</v>
      </c>
      <c r="G20">
        <f>F20-E20</f>
        <v>1.1999999999999957</v>
      </c>
      <c r="H20" s="1">
        <v>38217</v>
      </c>
    </row>
    <row r="21" spans="1:8" ht="12.75">
      <c r="A21" s="1">
        <v>38220</v>
      </c>
      <c r="B21" t="s">
        <v>59</v>
      </c>
      <c r="C21">
        <v>45</v>
      </c>
      <c r="D21">
        <v>46</v>
      </c>
      <c r="E21">
        <f>AVERAGE(C17:C21)</f>
        <v>44.6</v>
      </c>
      <c r="F21">
        <f>AVERAGE(D17:D21)</f>
        <v>45.4</v>
      </c>
      <c r="G21">
        <f>F21-E21</f>
        <v>0.7999999999999972</v>
      </c>
      <c r="H21" s="1">
        <v>38218</v>
      </c>
    </row>
    <row r="22" spans="1:8" ht="12.75">
      <c r="A22" s="1">
        <v>38240</v>
      </c>
      <c r="B22" t="s">
        <v>109</v>
      </c>
      <c r="C22">
        <v>43</v>
      </c>
      <c r="D22">
        <v>48</v>
      </c>
      <c r="E22">
        <f>AVERAGE(C18:C22)</f>
        <v>44.2</v>
      </c>
      <c r="F22">
        <f>AVERAGE(D18:D22)</f>
        <v>45.6</v>
      </c>
      <c r="G22">
        <f>F22-E22</f>
        <v>1.3999999999999986</v>
      </c>
      <c r="H22" s="1">
        <v>38238</v>
      </c>
    </row>
    <row r="23" spans="1:8" ht="12.75">
      <c r="A23" s="1">
        <v>38243</v>
      </c>
      <c r="B23" t="s">
        <v>41</v>
      </c>
      <c r="C23">
        <v>49.1</v>
      </c>
      <c r="D23">
        <v>42.8</v>
      </c>
      <c r="E23">
        <f>AVERAGE(C19:C23)</f>
        <v>45.019999999999996</v>
      </c>
      <c r="F23">
        <f>AVERAGE(D19:D23)</f>
        <v>44.36</v>
      </c>
      <c r="G23">
        <f>F23-E23</f>
        <v>-0.6599999999999966</v>
      </c>
      <c r="H23" s="1">
        <v>38241</v>
      </c>
    </row>
    <row r="24" spans="1:8" ht="12.75">
      <c r="A24" s="1">
        <v>38247</v>
      </c>
      <c r="B24" t="s">
        <v>59</v>
      </c>
      <c r="C24">
        <v>48</v>
      </c>
      <c r="D24">
        <v>45</v>
      </c>
      <c r="E24">
        <f>AVERAGE(C20:C24)</f>
        <v>45.42</v>
      </c>
      <c r="F24">
        <f>AVERAGE(D20:D24)</f>
        <v>43.96</v>
      </c>
      <c r="G24">
        <f>F24-E24</f>
        <v>-1.4600000000000009</v>
      </c>
      <c r="H24" s="1">
        <v>38244</v>
      </c>
    </row>
    <row r="25" spans="1:8" ht="12.75">
      <c r="A25" s="1">
        <v>38252</v>
      </c>
      <c r="B25" t="s">
        <v>102</v>
      </c>
      <c r="C25">
        <v>47</v>
      </c>
      <c r="D25">
        <v>45</v>
      </c>
      <c r="E25">
        <f>AVERAGE(C21:C25)</f>
        <v>46.42</v>
      </c>
      <c r="F25">
        <f>AVERAGE(D21:D25)</f>
        <v>45.36</v>
      </c>
      <c r="G25">
        <f>F25-E25</f>
        <v>-1.0600000000000023</v>
      </c>
      <c r="H25" s="1">
        <v>38250</v>
      </c>
    </row>
    <row r="26" spans="1:8" ht="12.75">
      <c r="A26" s="1">
        <v>38254</v>
      </c>
      <c r="B26" t="s">
        <v>57</v>
      </c>
      <c r="C26">
        <v>45</v>
      </c>
      <c r="D26">
        <v>51</v>
      </c>
      <c r="E26">
        <f>AVERAGE(C22:C26)</f>
        <v>46.42</v>
      </c>
      <c r="F26">
        <f>AVERAGE(D22:D26)</f>
        <v>46.36</v>
      </c>
      <c r="G26">
        <f>F26-E26</f>
        <v>-0.060000000000002274</v>
      </c>
      <c r="H26" s="1">
        <v>38250</v>
      </c>
    </row>
    <row r="27" spans="1:8" ht="12.75">
      <c r="A27" s="1">
        <v>38255</v>
      </c>
      <c r="B27" t="s">
        <v>52</v>
      </c>
      <c r="C27">
        <v>43</v>
      </c>
      <c r="D27">
        <v>44</v>
      </c>
      <c r="E27">
        <f>AVERAGE(C23:C27)</f>
        <v>46.42</v>
      </c>
      <c r="F27">
        <f>AVERAGE(D23:D27)</f>
        <v>45.56</v>
      </c>
      <c r="G27">
        <f>F27-E27</f>
        <v>-0.8599999999999994</v>
      </c>
      <c r="H27" s="1">
        <v>38251</v>
      </c>
    </row>
    <row r="28" spans="1:8" ht="12.75">
      <c r="A28" s="1">
        <v>38254</v>
      </c>
      <c r="B28" t="s">
        <v>169</v>
      </c>
      <c r="C28">
        <v>49</v>
      </c>
      <c r="D28">
        <v>47</v>
      </c>
      <c r="E28">
        <f>AVERAGE(C24:C28)</f>
        <v>46.4</v>
      </c>
      <c r="F28">
        <f>AVERAGE(D24:D28)</f>
        <v>46.4</v>
      </c>
      <c r="G28">
        <f>F28-E28</f>
        <v>0</v>
      </c>
      <c r="H28" s="1">
        <v>38252</v>
      </c>
    </row>
    <row r="29" spans="1:8" ht="12.75">
      <c r="A29" s="1">
        <v>38255</v>
      </c>
      <c r="B29" t="s">
        <v>103</v>
      </c>
      <c r="C29">
        <v>45</v>
      </c>
      <c r="D29">
        <v>46</v>
      </c>
      <c r="E29">
        <f>AVERAGE(C25:C29)</f>
        <v>45.8</v>
      </c>
      <c r="F29">
        <f>AVERAGE(D25:D29)</f>
        <v>46.6</v>
      </c>
      <c r="G29">
        <f>F29-E29</f>
        <v>0.8000000000000043</v>
      </c>
      <c r="H29" s="1">
        <v>38253</v>
      </c>
    </row>
    <row r="30" spans="1:8" ht="12.75">
      <c r="A30" s="1">
        <v>38255</v>
      </c>
      <c r="B30" t="s">
        <v>208</v>
      </c>
      <c r="C30">
        <v>44</v>
      </c>
      <c r="D30">
        <v>48</v>
      </c>
      <c r="E30">
        <f>AVERAGE(C26:C30)</f>
        <v>45.2</v>
      </c>
      <c r="F30">
        <f>AVERAGE(D26:D30)</f>
        <v>47.2</v>
      </c>
      <c r="G30">
        <f>F30-E30</f>
        <v>2</v>
      </c>
      <c r="H30" s="1">
        <v>38253</v>
      </c>
    </row>
    <row r="31" spans="1:8" ht="12.75">
      <c r="A31" s="1">
        <v>38256</v>
      </c>
      <c r="B31" t="s">
        <v>144</v>
      </c>
      <c r="C31">
        <v>45</v>
      </c>
      <c r="D31">
        <v>46</v>
      </c>
      <c r="E31">
        <f>AVERAGE(C27:C31)</f>
        <v>45.2</v>
      </c>
      <c r="F31">
        <f>AVERAGE(D27:D31)</f>
        <v>46.2</v>
      </c>
      <c r="G31">
        <f>F31-E31</f>
        <v>1</v>
      </c>
      <c r="H31" s="1">
        <v>38253</v>
      </c>
    </row>
    <row r="32" spans="1:8" ht="12.75">
      <c r="A32" s="1">
        <v>38263</v>
      </c>
      <c r="B32" t="s">
        <v>264</v>
      </c>
      <c r="C32">
        <v>37</v>
      </c>
      <c r="D32">
        <v>49</v>
      </c>
      <c r="E32">
        <f>AVERAGE(C28:C32)</f>
        <v>44</v>
      </c>
      <c r="F32">
        <f>AVERAGE(D28:D32)</f>
        <v>47.2</v>
      </c>
      <c r="G32">
        <f>F32-E32</f>
        <v>3.200000000000003</v>
      </c>
      <c r="H32" s="1">
        <v>38259</v>
      </c>
    </row>
    <row r="33" spans="1:8" ht="12.75">
      <c r="A33" s="1">
        <v>38263</v>
      </c>
      <c r="B33" t="s">
        <v>169</v>
      </c>
      <c r="C33">
        <v>43</v>
      </c>
      <c r="D33">
        <v>53</v>
      </c>
      <c r="E33">
        <f>AVERAGE(C29:C33)</f>
        <v>42.8</v>
      </c>
      <c r="F33">
        <f>AVERAGE(D29:D33)</f>
        <v>48.4</v>
      </c>
      <c r="G33">
        <f>F33-E33</f>
        <v>5.600000000000001</v>
      </c>
      <c r="H33" s="1">
        <v>38261</v>
      </c>
    </row>
    <row r="34" spans="1:8" ht="12.75">
      <c r="A34" s="1">
        <v>38266</v>
      </c>
      <c r="B34" t="s">
        <v>126</v>
      </c>
      <c r="C34">
        <v>40</v>
      </c>
      <c r="D34">
        <v>53</v>
      </c>
      <c r="E34">
        <f>AVERAGE(C30:C34)</f>
        <v>41.8</v>
      </c>
      <c r="F34">
        <f>AVERAGE(D30:D34)</f>
        <v>49.8</v>
      </c>
      <c r="G34">
        <f>F34-E34</f>
        <v>8</v>
      </c>
      <c r="H34" s="1">
        <v>38264</v>
      </c>
    </row>
    <row r="35" spans="1:8" ht="12.75">
      <c r="A35" s="1">
        <v>38266</v>
      </c>
      <c r="B35" t="s">
        <v>109</v>
      </c>
      <c r="C35">
        <v>43</v>
      </c>
      <c r="D35">
        <v>51</v>
      </c>
      <c r="E35">
        <f>AVERAGE(C31:C35)</f>
        <v>41.6</v>
      </c>
      <c r="F35">
        <f>AVERAGE(D31:D35)</f>
        <v>50.4</v>
      </c>
      <c r="G35">
        <f>F35-E35</f>
        <v>8.799999999999997</v>
      </c>
      <c r="H35" s="1">
        <v>38265</v>
      </c>
    </row>
    <row r="36" spans="1:8" ht="12.75">
      <c r="A36" s="1">
        <v>38269</v>
      </c>
      <c r="B36" t="s">
        <v>59</v>
      </c>
      <c r="C36">
        <v>43</v>
      </c>
      <c r="D36">
        <v>52</v>
      </c>
      <c r="E36">
        <f>AVERAGE(C32:C36)</f>
        <v>41.2</v>
      </c>
      <c r="F36">
        <f>AVERAGE(D32:D36)</f>
        <v>51.6</v>
      </c>
      <c r="G36">
        <f>F36-E36</f>
        <v>10.399999999999999</v>
      </c>
      <c r="H36" s="1">
        <v>38267</v>
      </c>
    </row>
    <row r="37" spans="1:11" ht="12.75">
      <c r="A37" s="1">
        <v>38276</v>
      </c>
      <c r="B37" t="s">
        <v>41</v>
      </c>
      <c r="C37">
        <v>42.6</v>
      </c>
      <c r="D37">
        <v>47.7</v>
      </c>
      <c r="E37">
        <f>AVERAGE(C33:C37)</f>
        <v>42.32</v>
      </c>
      <c r="F37">
        <f>AVERAGE(D33:D37)</f>
        <v>51.339999999999996</v>
      </c>
      <c r="G37">
        <f>F37-E37</f>
        <v>9.019999999999996</v>
      </c>
      <c r="H37" s="1">
        <v>38272</v>
      </c>
      <c r="I37">
        <f>AVERAGE(C36:C37)</f>
        <v>42.8</v>
      </c>
      <c r="J37">
        <f>AVERAGE(D36:D37)</f>
        <v>49.85</v>
      </c>
      <c r="K37">
        <f>J37-I37</f>
        <v>7.050000000000004</v>
      </c>
    </row>
    <row r="38" spans="1:8" ht="12.75">
      <c r="A38" s="1">
        <v>38279</v>
      </c>
      <c r="B38" t="s">
        <v>208</v>
      </c>
      <c r="C38">
        <v>43</v>
      </c>
      <c r="D38">
        <v>50</v>
      </c>
      <c r="E38">
        <f>AVERAGE(C34:C38)</f>
        <v>42.32</v>
      </c>
      <c r="F38">
        <f>AVERAGE(D34:D38)</f>
        <v>50.739999999999995</v>
      </c>
      <c r="G38">
        <f>F38-E38</f>
        <v>8.419999999999995</v>
      </c>
      <c r="H38" s="1">
        <v>38278</v>
      </c>
    </row>
    <row r="39" spans="1:8" ht="12.75">
      <c r="A39" s="1">
        <v>38281</v>
      </c>
      <c r="B39" t="s">
        <v>41</v>
      </c>
      <c r="C39">
        <v>46</v>
      </c>
      <c r="D39">
        <v>47</v>
      </c>
      <c r="E39">
        <f>AVERAGE(C35:C39)</f>
        <v>43.519999999999996</v>
      </c>
      <c r="F39">
        <f>AVERAGE(D35:D39)</f>
        <v>49.54</v>
      </c>
      <c r="G39">
        <f>F39-E39</f>
        <v>6.020000000000003</v>
      </c>
      <c r="H39" s="1">
        <v>38279</v>
      </c>
    </row>
    <row r="40" spans="1:8" ht="12.75">
      <c r="A40" s="1">
        <v>38285</v>
      </c>
      <c r="B40" t="s">
        <v>312</v>
      </c>
      <c r="C40">
        <v>39</v>
      </c>
      <c r="D40">
        <v>54</v>
      </c>
      <c r="E40">
        <f>AVERAGE(C36:C40)</f>
        <v>42.72</v>
      </c>
      <c r="F40">
        <f>AVERAGE(D36:D40)</f>
        <v>50.14</v>
      </c>
      <c r="G40">
        <f>F40-E40</f>
        <v>7.420000000000002</v>
      </c>
      <c r="H40" s="1">
        <v>38281</v>
      </c>
    </row>
    <row r="41" spans="1:8" ht="12.75">
      <c r="A41" s="1">
        <v>38284</v>
      </c>
      <c r="B41" t="s">
        <v>169</v>
      </c>
      <c r="C41">
        <v>46</v>
      </c>
      <c r="D41">
        <v>50</v>
      </c>
      <c r="E41">
        <f>AVERAGE(C37:C41)</f>
        <v>43.32</v>
      </c>
      <c r="F41">
        <f>AVERAGE(D37:D41)</f>
        <v>49.739999999999995</v>
      </c>
      <c r="G41">
        <f>F41-E41</f>
        <v>6.419999999999995</v>
      </c>
      <c r="H41" s="1">
        <v>38282</v>
      </c>
    </row>
    <row r="42" spans="1:8" ht="12.75">
      <c r="A42" s="1">
        <v>38287</v>
      </c>
      <c r="B42" t="s">
        <v>57</v>
      </c>
      <c r="C42">
        <v>45</v>
      </c>
      <c r="D42">
        <v>50</v>
      </c>
      <c r="E42">
        <f>AVERAGE(C38:C42)</f>
        <v>43.8</v>
      </c>
      <c r="F42">
        <f>AVERAGE(D38:D42)</f>
        <v>50.2</v>
      </c>
      <c r="G42">
        <f>F42-E42</f>
        <v>6.400000000000006</v>
      </c>
      <c r="H42" s="1">
        <v>38282</v>
      </c>
    </row>
    <row r="43" spans="1:8" ht="12.75">
      <c r="A43" s="1">
        <v>38288</v>
      </c>
      <c r="B43" t="s">
        <v>89</v>
      </c>
      <c r="C43">
        <v>39</v>
      </c>
      <c r="D43">
        <v>50</v>
      </c>
      <c r="E43">
        <f>AVERAGE(C39:C43)</f>
        <v>43</v>
      </c>
      <c r="F43">
        <f>AVERAGE(D39:D43)</f>
        <v>50.2</v>
      </c>
      <c r="G43">
        <f>F43-E43</f>
        <v>7.200000000000003</v>
      </c>
      <c r="H43" s="1">
        <v>38284</v>
      </c>
    </row>
    <row r="44" spans="1:8" ht="12.75">
      <c r="A44" s="1">
        <v>38288</v>
      </c>
      <c r="B44" t="s">
        <v>4</v>
      </c>
      <c r="C44">
        <v>37</v>
      </c>
      <c r="D44">
        <v>55</v>
      </c>
      <c r="E44">
        <f>AVERAGE(C40:C44)</f>
        <v>41.2</v>
      </c>
      <c r="F44">
        <f>AVERAGE(D40:D44)</f>
        <v>51.8</v>
      </c>
      <c r="G44">
        <f>F44-E44</f>
        <v>10.599999999999994</v>
      </c>
      <c r="H44" s="1">
        <v>38285</v>
      </c>
    </row>
    <row r="45" spans="1:8" ht="12.75">
      <c r="A45" s="1">
        <v>38290</v>
      </c>
      <c r="B45" t="s">
        <v>102</v>
      </c>
      <c r="C45">
        <v>39</v>
      </c>
      <c r="D45">
        <v>55</v>
      </c>
      <c r="E45">
        <f>AVERAGE(C41:C45)</f>
        <v>41.2</v>
      </c>
      <c r="F45">
        <f>AVERAGE(D41:D45)</f>
        <v>52</v>
      </c>
      <c r="G45">
        <f>F45-E45</f>
        <v>10.799999999999997</v>
      </c>
      <c r="H45" s="1">
        <v>38285</v>
      </c>
    </row>
    <row r="46" spans="1:8" ht="12.75">
      <c r="A46" s="1">
        <v>38287</v>
      </c>
      <c r="B46" t="s">
        <v>102</v>
      </c>
      <c r="C46">
        <v>33</v>
      </c>
      <c r="D46">
        <v>58</v>
      </c>
      <c r="E46">
        <f>AVERAGE(C42:C46)</f>
        <v>38.6</v>
      </c>
      <c r="F46">
        <f>AVERAGE(D42:D46)</f>
        <v>53.6</v>
      </c>
      <c r="G46">
        <f>F46-E46</f>
        <v>15</v>
      </c>
      <c r="H46" s="1">
        <v>38286</v>
      </c>
    </row>
    <row r="47" spans="1:8" ht="12.75">
      <c r="A47" s="1">
        <v>38289</v>
      </c>
      <c r="B47" t="s">
        <v>102</v>
      </c>
      <c r="C47">
        <v>34</v>
      </c>
      <c r="D47">
        <v>58</v>
      </c>
      <c r="E47">
        <f>AVERAGE(C43:C47)</f>
        <v>36.4</v>
      </c>
      <c r="F47">
        <f>AVERAGE(D43:D47)</f>
        <v>55.2</v>
      </c>
      <c r="G47">
        <f>F47-E47</f>
        <v>18.800000000000004</v>
      </c>
      <c r="H47" s="1">
        <v>38287</v>
      </c>
    </row>
    <row r="48" spans="1:8" ht="12.75">
      <c r="A48" s="1">
        <v>38290</v>
      </c>
      <c r="B48" t="s">
        <v>144</v>
      </c>
      <c r="C48">
        <v>40</v>
      </c>
      <c r="D48">
        <v>53</v>
      </c>
      <c r="E48">
        <f>AVERAGE(C44:C48)</f>
        <v>36.6</v>
      </c>
      <c r="F48">
        <f>AVERAGE(D44:D48)</f>
        <v>55.8</v>
      </c>
      <c r="G48">
        <f>F48-E48</f>
        <v>19.199999999999996</v>
      </c>
      <c r="H48" s="1">
        <v>38288</v>
      </c>
    </row>
    <row r="49" spans="1:8" ht="12.75">
      <c r="A49" s="1">
        <v>38291</v>
      </c>
      <c r="B49" t="s">
        <v>103</v>
      </c>
      <c r="C49">
        <v>41</v>
      </c>
      <c r="D49">
        <v>50</v>
      </c>
      <c r="E49">
        <f>AVERAGE(C45:C49)</f>
        <v>37.4</v>
      </c>
      <c r="F49">
        <f>AVERAGE(D45:D49)</f>
        <v>54.8</v>
      </c>
      <c r="G49">
        <f>F49-E49</f>
        <v>17.4</v>
      </c>
      <c r="H49" s="1">
        <v>38288</v>
      </c>
    </row>
    <row r="50" spans="1:8" ht="12.75">
      <c r="A50" s="1">
        <v>38291</v>
      </c>
      <c r="B50" t="s">
        <v>208</v>
      </c>
      <c r="C50">
        <v>44</v>
      </c>
      <c r="D50">
        <v>51</v>
      </c>
      <c r="E50">
        <f>AVERAGE(C46:C50)</f>
        <v>38.4</v>
      </c>
      <c r="F50">
        <f>AVERAGE(D46:D50)</f>
        <v>54</v>
      </c>
      <c r="G50">
        <f>F50-E50</f>
        <v>15.600000000000001</v>
      </c>
      <c r="H50" s="1">
        <v>38289</v>
      </c>
    </row>
    <row r="51" spans="1:8" ht="12.75">
      <c r="A51" s="1">
        <v>38291</v>
      </c>
      <c r="B51" t="s">
        <v>126</v>
      </c>
      <c r="C51">
        <v>42</v>
      </c>
      <c r="D51">
        <v>53</v>
      </c>
      <c r="E51">
        <f>AVERAGE(C47:C51)</f>
        <v>40.2</v>
      </c>
      <c r="F51">
        <f>AVERAGE(D47:D51)</f>
        <v>53</v>
      </c>
      <c r="G51">
        <f>F51-E51</f>
        <v>12.799999999999997</v>
      </c>
      <c r="H51" s="1">
        <v>38289</v>
      </c>
    </row>
    <row r="52" spans="1:8" ht="12.75">
      <c r="A52" s="1">
        <v>38291</v>
      </c>
      <c r="B52" t="s">
        <v>59</v>
      </c>
      <c r="C52">
        <v>41</v>
      </c>
      <c r="D52">
        <v>56</v>
      </c>
      <c r="E52">
        <f>AVERAGE(C48:C52)</f>
        <v>41.6</v>
      </c>
      <c r="F52">
        <f>AVERAGE(D48:D52)</f>
        <v>52.6</v>
      </c>
      <c r="G52">
        <f>F52-E52</f>
        <v>11</v>
      </c>
      <c r="H52" s="1">
        <v>38289</v>
      </c>
    </row>
    <row r="53" spans="1:8" ht="12.75">
      <c r="A53" s="1">
        <v>38291</v>
      </c>
      <c r="B53" t="s">
        <v>169</v>
      </c>
      <c r="C53">
        <v>44</v>
      </c>
      <c r="D53">
        <v>51</v>
      </c>
      <c r="E53">
        <f>AVERAGE(C49:C53)</f>
        <v>42.4</v>
      </c>
      <c r="F53">
        <f>AVERAGE(D49:D53)</f>
        <v>52.2</v>
      </c>
      <c r="G53">
        <f>F53-E53</f>
        <v>9.800000000000004</v>
      </c>
      <c r="H53" s="1">
        <v>38289</v>
      </c>
    </row>
    <row r="54" spans="1:8" ht="12.75">
      <c r="A54" s="1">
        <v>38291</v>
      </c>
      <c r="B54" t="s">
        <v>102</v>
      </c>
      <c r="C54">
        <v>39</v>
      </c>
      <c r="D54">
        <v>53</v>
      </c>
      <c r="E54">
        <f>AVERAGE(C50:C54)</f>
        <v>42</v>
      </c>
      <c r="F54">
        <f>AVERAGE(D50:D54)</f>
        <v>52.8</v>
      </c>
      <c r="G54">
        <f>F54-E54</f>
        <v>10.799999999999997</v>
      </c>
      <c r="H54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3:K42"/>
  <sheetViews>
    <sheetView zoomScalePageLayoutView="0" workbookViewId="0" topLeftCell="A1">
      <selection activeCell="H43" sqref="H43"/>
    </sheetView>
  </sheetViews>
  <sheetFormatPr defaultColWidth="11.00390625" defaultRowHeight="12.75"/>
  <sheetData>
    <row r="3" spans="3:7" ht="12.75">
      <c r="C3" s="3" t="s">
        <v>316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38056</v>
      </c>
      <c r="B5" t="s">
        <v>280</v>
      </c>
      <c r="C5">
        <v>39</v>
      </c>
      <c r="D5">
        <v>46</v>
      </c>
      <c r="E5">
        <f aca="true" t="shared" si="0" ref="E5:E42">AVERAGE(C1:C5)</f>
        <v>39</v>
      </c>
      <c r="F5">
        <f aca="true" t="shared" si="1" ref="F5:F42">AVERAGE(D1:D5)</f>
        <v>46</v>
      </c>
      <c r="G5">
        <f aca="true" t="shared" si="2" ref="G5:G42">F5-E5</f>
        <v>7</v>
      </c>
      <c r="H5" s="1">
        <v>38034</v>
      </c>
    </row>
    <row r="6" spans="1:8" ht="12.75">
      <c r="A6" s="1">
        <v>38056</v>
      </c>
      <c r="B6" t="s">
        <v>94</v>
      </c>
      <c r="C6">
        <v>38</v>
      </c>
      <c r="D6">
        <v>43</v>
      </c>
      <c r="E6">
        <f t="shared" si="0"/>
        <v>38.5</v>
      </c>
      <c r="F6">
        <f t="shared" si="1"/>
        <v>44.5</v>
      </c>
      <c r="G6">
        <f t="shared" si="2"/>
        <v>6</v>
      </c>
      <c r="H6" s="1">
        <v>38040</v>
      </c>
    </row>
    <row r="7" spans="1:8" ht="12.75">
      <c r="A7" s="1">
        <v>38047</v>
      </c>
      <c r="B7" t="s">
        <v>169</v>
      </c>
      <c r="C7">
        <v>45</v>
      </c>
      <c r="D7">
        <v>43</v>
      </c>
      <c r="E7">
        <f t="shared" si="0"/>
        <v>40.666666666666664</v>
      </c>
      <c r="F7">
        <f t="shared" si="1"/>
        <v>44</v>
      </c>
      <c r="G7">
        <f t="shared" si="2"/>
        <v>3.3333333333333357</v>
      </c>
      <c r="H7" s="1">
        <v>38043</v>
      </c>
    </row>
    <row r="8" spans="1:8" ht="12.75">
      <c r="A8" s="1">
        <v>38051</v>
      </c>
      <c r="B8" t="s">
        <v>126</v>
      </c>
      <c r="C8">
        <v>43</v>
      </c>
      <c r="D8">
        <v>43</v>
      </c>
      <c r="E8">
        <f t="shared" si="0"/>
        <v>41.25</v>
      </c>
      <c r="F8">
        <f t="shared" si="1"/>
        <v>43.75</v>
      </c>
      <c r="G8">
        <f t="shared" si="2"/>
        <v>2.5</v>
      </c>
      <c r="H8" s="1">
        <v>38044</v>
      </c>
    </row>
    <row r="9" spans="1:8" ht="12.75">
      <c r="A9" s="1">
        <v>38076</v>
      </c>
      <c r="B9" t="s">
        <v>169</v>
      </c>
      <c r="C9">
        <v>46</v>
      </c>
      <c r="D9">
        <v>45</v>
      </c>
      <c r="E9">
        <f t="shared" si="0"/>
        <v>42.2</v>
      </c>
      <c r="F9">
        <f t="shared" si="1"/>
        <v>44</v>
      </c>
      <c r="G9">
        <f t="shared" si="2"/>
        <v>1.7999999999999972</v>
      </c>
      <c r="H9" s="1">
        <v>38072</v>
      </c>
    </row>
    <row r="10" spans="1:8" ht="12.75">
      <c r="A10" s="1">
        <v>38079</v>
      </c>
      <c r="B10" t="s">
        <v>94</v>
      </c>
      <c r="C10">
        <v>42</v>
      </c>
      <c r="D10">
        <v>47</v>
      </c>
      <c r="E10">
        <f t="shared" si="0"/>
        <v>42.8</v>
      </c>
      <c r="F10">
        <f t="shared" si="1"/>
        <v>44.2</v>
      </c>
      <c r="G10">
        <f t="shared" si="2"/>
        <v>1.4000000000000057</v>
      </c>
      <c r="H10" s="1">
        <v>38075</v>
      </c>
    </row>
    <row r="11" spans="1:8" ht="12.75">
      <c r="A11" s="1">
        <v>38107</v>
      </c>
      <c r="B11" t="s">
        <v>223</v>
      </c>
      <c r="C11">
        <v>32</v>
      </c>
      <c r="D11">
        <v>56</v>
      </c>
      <c r="E11">
        <f t="shared" si="0"/>
        <v>41.6</v>
      </c>
      <c r="F11">
        <f t="shared" si="1"/>
        <v>46.8</v>
      </c>
      <c r="G11">
        <f t="shared" si="2"/>
        <v>5.199999999999996</v>
      </c>
      <c r="H11" s="1">
        <v>38104</v>
      </c>
    </row>
    <row r="12" spans="1:8" ht="12.75">
      <c r="A12" s="1">
        <v>38112</v>
      </c>
      <c r="B12" t="s">
        <v>36</v>
      </c>
      <c r="C12">
        <v>40</v>
      </c>
      <c r="D12">
        <v>48</v>
      </c>
      <c r="E12">
        <f t="shared" si="0"/>
        <v>40.6</v>
      </c>
      <c r="F12">
        <f t="shared" si="1"/>
        <v>47.8</v>
      </c>
      <c r="G12">
        <f t="shared" si="2"/>
        <v>7.199999999999996</v>
      </c>
      <c r="H12" s="1">
        <v>38105</v>
      </c>
    </row>
    <row r="13" spans="1:8" ht="12.75">
      <c r="A13" s="1">
        <v>38147</v>
      </c>
      <c r="B13" t="s">
        <v>169</v>
      </c>
      <c r="C13">
        <v>39</v>
      </c>
      <c r="D13">
        <v>48</v>
      </c>
      <c r="E13">
        <f t="shared" si="0"/>
        <v>39.8</v>
      </c>
      <c r="F13">
        <f t="shared" si="1"/>
        <v>48.8</v>
      </c>
      <c r="G13">
        <f t="shared" si="2"/>
        <v>9</v>
      </c>
      <c r="H13" s="1">
        <v>38141</v>
      </c>
    </row>
    <row r="14" spans="1:8" ht="12.75">
      <c r="A14" s="1">
        <v>38150</v>
      </c>
      <c r="B14" t="s">
        <v>280</v>
      </c>
      <c r="C14">
        <v>39</v>
      </c>
      <c r="D14">
        <v>45</v>
      </c>
      <c r="E14">
        <f t="shared" si="0"/>
        <v>38.4</v>
      </c>
      <c r="F14">
        <f t="shared" si="1"/>
        <v>48.8</v>
      </c>
      <c r="G14">
        <f t="shared" si="2"/>
        <v>10.399999999999999</v>
      </c>
      <c r="H14" s="1">
        <v>38145</v>
      </c>
    </row>
    <row r="15" spans="1:8" ht="12.75">
      <c r="A15" s="1">
        <v>38165</v>
      </c>
      <c r="B15" t="s">
        <v>94</v>
      </c>
      <c r="C15">
        <v>33</v>
      </c>
      <c r="D15">
        <v>49</v>
      </c>
      <c r="E15">
        <f t="shared" si="0"/>
        <v>36.6</v>
      </c>
      <c r="F15">
        <f t="shared" si="1"/>
        <v>49.2</v>
      </c>
      <c r="G15">
        <f t="shared" si="2"/>
        <v>12.600000000000001</v>
      </c>
      <c r="H15" s="1">
        <v>38159</v>
      </c>
    </row>
    <row r="16" spans="1:8" ht="12.75">
      <c r="A16" s="1">
        <v>38176</v>
      </c>
      <c r="B16" t="s">
        <v>239</v>
      </c>
      <c r="C16">
        <v>36</v>
      </c>
      <c r="D16">
        <v>49</v>
      </c>
      <c r="E16">
        <f t="shared" si="0"/>
        <v>37.4</v>
      </c>
      <c r="F16">
        <f t="shared" si="1"/>
        <v>47.8</v>
      </c>
      <c r="G16">
        <f t="shared" si="2"/>
        <v>10.399999999999999</v>
      </c>
      <c r="H16" s="1">
        <v>38167</v>
      </c>
    </row>
    <row r="17" spans="1:8" ht="12.75">
      <c r="A17" s="1">
        <v>38177</v>
      </c>
      <c r="B17" t="s">
        <v>169</v>
      </c>
      <c r="C17">
        <v>39</v>
      </c>
      <c r="D17">
        <v>44</v>
      </c>
      <c r="E17">
        <f t="shared" si="0"/>
        <v>37.2</v>
      </c>
      <c r="F17">
        <f t="shared" si="1"/>
        <v>47</v>
      </c>
      <c r="G17">
        <f t="shared" si="2"/>
        <v>9.799999999999997</v>
      </c>
      <c r="H17" s="1">
        <v>38176</v>
      </c>
    </row>
    <row r="18" spans="1:8" ht="12.75">
      <c r="A18" s="1">
        <v>38186</v>
      </c>
      <c r="B18" t="s">
        <v>103</v>
      </c>
      <c r="C18">
        <v>38</v>
      </c>
      <c r="D18">
        <v>47</v>
      </c>
      <c r="E18">
        <f t="shared" si="0"/>
        <v>37</v>
      </c>
      <c r="F18">
        <f t="shared" si="1"/>
        <v>46.8</v>
      </c>
      <c r="G18">
        <f t="shared" si="2"/>
        <v>9.799999999999997</v>
      </c>
      <c r="H18" s="1">
        <v>38180</v>
      </c>
    </row>
    <row r="19" spans="1:8" ht="12.75">
      <c r="A19" s="1">
        <v>38191</v>
      </c>
      <c r="B19" t="s">
        <v>223</v>
      </c>
      <c r="C19">
        <v>36</v>
      </c>
      <c r="D19">
        <v>50</v>
      </c>
      <c r="E19">
        <f t="shared" si="0"/>
        <v>36.4</v>
      </c>
      <c r="F19">
        <f t="shared" si="1"/>
        <v>47.8</v>
      </c>
      <c r="G19">
        <f t="shared" si="2"/>
        <v>11.399999999999999</v>
      </c>
      <c r="H19" s="1">
        <v>38188</v>
      </c>
    </row>
    <row r="20" spans="1:8" ht="12.75">
      <c r="A20" s="1">
        <v>38205</v>
      </c>
      <c r="B20" t="s">
        <v>169</v>
      </c>
      <c r="C20">
        <v>42</v>
      </c>
      <c r="D20">
        <v>52</v>
      </c>
      <c r="E20">
        <f t="shared" si="0"/>
        <v>38.2</v>
      </c>
      <c r="F20">
        <f t="shared" si="1"/>
        <v>48.4</v>
      </c>
      <c r="G20">
        <f t="shared" si="2"/>
        <v>10.199999999999996</v>
      </c>
      <c r="H20" s="1">
        <v>38202</v>
      </c>
    </row>
    <row r="21" spans="1:8" ht="12.75">
      <c r="A21" s="1">
        <v>38211</v>
      </c>
      <c r="B21" t="s">
        <v>280</v>
      </c>
      <c r="C21">
        <v>41</v>
      </c>
      <c r="D21">
        <v>51</v>
      </c>
      <c r="E21">
        <f t="shared" si="0"/>
        <v>39.2</v>
      </c>
      <c r="F21">
        <f t="shared" si="1"/>
        <v>48.8</v>
      </c>
      <c r="G21">
        <f t="shared" si="2"/>
        <v>9.599999999999994</v>
      </c>
      <c r="H21" s="1">
        <v>38208</v>
      </c>
    </row>
    <row r="22" spans="1:8" ht="12.75">
      <c r="A22" s="1">
        <v>38239</v>
      </c>
      <c r="B22" t="s">
        <v>94</v>
      </c>
      <c r="C22">
        <v>41</v>
      </c>
      <c r="D22">
        <v>47</v>
      </c>
      <c r="E22">
        <f t="shared" si="0"/>
        <v>39.6</v>
      </c>
      <c r="F22">
        <f t="shared" si="1"/>
        <v>49.4</v>
      </c>
      <c r="G22">
        <f t="shared" si="2"/>
        <v>9.799999999999997</v>
      </c>
      <c r="H22" s="1">
        <v>38236</v>
      </c>
    </row>
    <row r="23" spans="1:8" ht="12.75">
      <c r="A23" s="1">
        <v>38242</v>
      </c>
      <c r="B23" t="s">
        <v>57</v>
      </c>
      <c r="C23">
        <v>45</v>
      </c>
      <c r="D23">
        <v>48</v>
      </c>
      <c r="E23">
        <f t="shared" si="0"/>
        <v>41</v>
      </c>
      <c r="F23">
        <f t="shared" si="1"/>
        <v>49.6</v>
      </c>
      <c r="G23">
        <f t="shared" si="2"/>
        <v>8.600000000000001</v>
      </c>
      <c r="H23" s="1">
        <v>38237</v>
      </c>
    </row>
    <row r="24" spans="1:8" ht="12.75">
      <c r="A24" s="1">
        <v>38244</v>
      </c>
      <c r="B24" t="s">
        <v>243</v>
      </c>
      <c r="C24">
        <v>41</v>
      </c>
      <c r="D24">
        <v>50</v>
      </c>
      <c r="E24">
        <f t="shared" si="0"/>
        <v>42</v>
      </c>
      <c r="F24">
        <f t="shared" si="1"/>
        <v>49.6</v>
      </c>
      <c r="G24">
        <f t="shared" si="2"/>
        <v>7.600000000000001</v>
      </c>
      <c r="H24" s="1">
        <v>38240</v>
      </c>
    </row>
    <row r="25" spans="1:8" ht="12.75">
      <c r="A25" s="1">
        <v>38246</v>
      </c>
      <c r="B25" t="s">
        <v>280</v>
      </c>
      <c r="C25">
        <v>45</v>
      </c>
      <c r="D25">
        <v>48</v>
      </c>
      <c r="E25">
        <f t="shared" si="0"/>
        <v>42.6</v>
      </c>
      <c r="F25">
        <f t="shared" si="1"/>
        <v>48.8</v>
      </c>
      <c r="G25">
        <f t="shared" si="2"/>
        <v>6.199999999999996</v>
      </c>
      <c r="H25" s="1">
        <v>38243</v>
      </c>
    </row>
    <row r="26" spans="1:8" ht="12.75">
      <c r="A26" s="1">
        <v>38246</v>
      </c>
      <c r="B26" t="s">
        <v>223</v>
      </c>
      <c r="C26">
        <v>41</v>
      </c>
      <c r="D26">
        <v>49</v>
      </c>
      <c r="E26">
        <f t="shared" si="0"/>
        <v>42.6</v>
      </c>
      <c r="F26">
        <f t="shared" si="1"/>
        <v>48.4</v>
      </c>
      <c r="G26">
        <f t="shared" si="2"/>
        <v>5.799999999999997</v>
      </c>
      <c r="H26" s="1">
        <v>38243</v>
      </c>
    </row>
    <row r="27" spans="1:8" ht="12.75">
      <c r="A27" s="1">
        <v>38248</v>
      </c>
      <c r="B27" t="s">
        <v>169</v>
      </c>
      <c r="C27">
        <v>42</v>
      </c>
      <c r="D27">
        <v>55</v>
      </c>
      <c r="E27">
        <f t="shared" si="0"/>
        <v>42.8</v>
      </c>
      <c r="F27">
        <f t="shared" si="1"/>
        <v>50</v>
      </c>
      <c r="G27">
        <f t="shared" si="2"/>
        <v>7.200000000000003</v>
      </c>
      <c r="H27" s="1">
        <v>38245</v>
      </c>
    </row>
    <row r="28" spans="1:8" ht="12.75">
      <c r="A28" s="1">
        <v>38249</v>
      </c>
      <c r="B28" t="s">
        <v>103</v>
      </c>
      <c r="C28">
        <v>43</v>
      </c>
      <c r="D28">
        <v>47</v>
      </c>
      <c r="E28">
        <f t="shared" si="0"/>
        <v>42.4</v>
      </c>
      <c r="F28">
        <f t="shared" si="1"/>
        <v>49.8</v>
      </c>
      <c r="G28">
        <f t="shared" si="2"/>
        <v>7.399999999999999</v>
      </c>
      <c r="H28" s="1">
        <v>38245</v>
      </c>
    </row>
    <row r="29" spans="1:8" ht="12.75">
      <c r="A29" s="1">
        <v>38252</v>
      </c>
      <c r="B29" t="s">
        <v>59</v>
      </c>
      <c r="C29">
        <v>42</v>
      </c>
      <c r="D29">
        <v>51</v>
      </c>
      <c r="E29">
        <f t="shared" si="0"/>
        <v>42.6</v>
      </c>
      <c r="F29">
        <f t="shared" si="1"/>
        <v>50</v>
      </c>
      <c r="G29">
        <f t="shared" si="2"/>
        <v>7.399999999999999</v>
      </c>
      <c r="H29" s="1">
        <v>38249</v>
      </c>
    </row>
    <row r="30" spans="1:8" ht="12.75">
      <c r="A30" s="1">
        <v>38261</v>
      </c>
      <c r="B30" t="s">
        <v>103</v>
      </c>
      <c r="C30">
        <v>39</v>
      </c>
      <c r="D30">
        <v>48</v>
      </c>
      <c r="E30">
        <f t="shared" si="0"/>
        <v>41.4</v>
      </c>
      <c r="F30">
        <f t="shared" si="1"/>
        <v>50</v>
      </c>
      <c r="G30">
        <f t="shared" si="2"/>
        <v>8.600000000000001</v>
      </c>
      <c r="H30" s="1">
        <v>38257</v>
      </c>
    </row>
    <row r="31" spans="1:8" ht="12.75">
      <c r="A31" s="1">
        <v>38260</v>
      </c>
      <c r="B31" t="s">
        <v>126</v>
      </c>
      <c r="C31">
        <v>42</v>
      </c>
      <c r="D31">
        <v>52</v>
      </c>
      <c r="E31">
        <f t="shared" si="0"/>
        <v>41.6</v>
      </c>
      <c r="F31">
        <f t="shared" si="1"/>
        <v>50.6</v>
      </c>
      <c r="G31">
        <f t="shared" si="2"/>
        <v>9</v>
      </c>
      <c r="H31" s="1">
        <v>38258</v>
      </c>
    </row>
    <row r="32" spans="1:8" ht="12.75">
      <c r="A32" s="1">
        <v>38267</v>
      </c>
      <c r="B32" t="s">
        <v>94</v>
      </c>
      <c r="C32">
        <v>37</v>
      </c>
      <c r="D32">
        <v>50</v>
      </c>
      <c r="E32">
        <f t="shared" si="0"/>
        <v>40.6</v>
      </c>
      <c r="F32">
        <f t="shared" si="1"/>
        <v>49.6</v>
      </c>
      <c r="G32">
        <f t="shared" si="2"/>
        <v>9</v>
      </c>
      <c r="H32" s="1">
        <v>38264</v>
      </c>
    </row>
    <row r="33" spans="1:8" ht="12.75">
      <c r="A33" s="1">
        <v>38269</v>
      </c>
      <c r="B33" t="s">
        <v>169</v>
      </c>
      <c r="C33">
        <v>42</v>
      </c>
      <c r="D33">
        <v>50</v>
      </c>
      <c r="E33">
        <f t="shared" si="0"/>
        <v>40.4</v>
      </c>
      <c r="F33">
        <f t="shared" si="1"/>
        <v>50.2</v>
      </c>
      <c r="G33">
        <f t="shared" si="2"/>
        <v>9.800000000000004</v>
      </c>
      <c r="H33" s="1">
        <v>38267</v>
      </c>
    </row>
    <row r="34" spans="1:11" ht="12.75">
      <c r="A34" s="1">
        <v>38273</v>
      </c>
      <c r="B34" t="s">
        <v>126</v>
      </c>
      <c r="C34">
        <v>40</v>
      </c>
      <c r="D34">
        <v>55</v>
      </c>
      <c r="E34">
        <f t="shared" si="0"/>
        <v>40</v>
      </c>
      <c r="F34">
        <f t="shared" si="1"/>
        <v>51</v>
      </c>
      <c r="G34">
        <f t="shared" si="2"/>
        <v>11</v>
      </c>
      <c r="H34" s="1">
        <v>38271</v>
      </c>
      <c r="I34">
        <f>AVERAGE(C33:C34)</f>
        <v>41</v>
      </c>
      <c r="J34">
        <f>AVERAGE(D33:D34)</f>
        <v>52.5</v>
      </c>
      <c r="K34">
        <f>J34-I34</f>
        <v>11.5</v>
      </c>
    </row>
    <row r="35" spans="1:8" ht="12.75">
      <c r="A35" s="1">
        <v>38281</v>
      </c>
      <c r="B35" t="s">
        <v>223</v>
      </c>
      <c r="C35">
        <v>38</v>
      </c>
      <c r="D35">
        <v>55</v>
      </c>
      <c r="E35">
        <f t="shared" si="0"/>
        <v>39.8</v>
      </c>
      <c r="F35">
        <f t="shared" si="1"/>
        <v>52.4</v>
      </c>
      <c r="G35">
        <f t="shared" si="2"/>
        <v>12.600000000000001</v>
      </c>
      <c r="H35" s="1">
        <v>38277</v>
      </c>
    </row>
    <row r="36" spans="1:8" ht="12.75">
      <c r="A36" s="1">
        <v>38280</v>
      </c>
      <c r="B36" t="s">
        <v>280</v>
      </c>
      <c r="C36">
        <v>36</v>
      </c>
      <c r="D36">
        <v>59</v>
      </c>
      <c r="E36">
        <f t="shared" si="0"/>
        <v>38.6</v>
      </c>
      <c r="F36">
        <f t="shared" si="1"/>
        <v>53.8</v>
      </c>
      <c r="G36">
        <f t="shared" si="2"/>
        <v>15.199999999999996</v>
      </c>
      <c r="H36" s="1">
        <v>38278</v>
      </c>
    </row>
    <row r="37" spans="1:8" ht="12.75">
      <c r="A37" s="1">
        <v>38284</v>
      </c>
      <c r="B37" t="s">
        <v>57</v>
      </c>
      <c r="C37">
        <v>39</v>
      </c>
      <c r="D37">
        <v>56</v>
      </c>
      <c r="E37">
        <f t="shared" si="0"/>
        <v>39</v>
      </c>
      <c r="F37">
        <f t="shared" si="1"/>
        <v>55</v>
      </c>
      <c r="G37">
        <f t="shared" si="2"/>
        <v>16</v>
      </c>
      <c r="H37" s="1">
        <v>38280</v>
      </c>
    </row>
    <row r="38" spans="1:8" ht="12.75">
      <c r="A38" s="1">
        <v>38288</v>
      </c>
      <c r="B38" t="s">
        <v>103</v>
      </c>
      <c r="C38">
        <v>38</v>
      </c>
      <c r="D38">
        <v>53</v>
      </c>
      <c r="E38">
        <f t="shared" si="0"/>
        <v>38.2</v>
      </c>
      <c r="F38">
        <f t="shared" si="1"/>
        <v>55.6</v>
      </c>
      <c r="G38">
        <f t="shared" si="2"/>
        <v>17.4</v>
      </c>
      <c r="H38" s="1">
        <v>38285</v>
      </c>
    </row>
    <row r="39" spans="1:8" ht="12.75">
      <c r="A39" s="1">
        <v>38290</v>
      </c>
      <c r="B39" t="s">
        <v>36</v>
      </c>
      <c r="C39">
        <v>38</v>
      </c>
      <c r="D39">
        <v>54</v>
      </c>
      <c r="E39">
        <f t="shared" si="0"/>
        <v>37.8</v>
      </c>
      <c r="F39">
        <f t="shared" si="1"/>
        <v>55.4</v>
      </c>
      <c r="G39">
        <f t="shared" si="2"/>
        <v>17.6</v>
      </c>
      <c r="H39" s="1">
        <v>38287</v>
      </c>
    </row>
    <row r="40" spans="1:8" ht="12.75">
      <c r="A40" s="1">
        <v>38291</v>
      </c>
      <c r="B40" t="s">
        <v>94</v>
      </c>
      <c r="C40">
        <v>35</v>
      </c>
      <c r="D40">
        <v>53</v>
      </c>
      <c r="E40">
        <f t="shared" si="0"/>
        <v>37.2</v>
      </c>
      <c r="F40">
        <f t="shared" si="1"/>
        <v>55</v>
      </c>
      <c r="G40">
        <f t="shared" si="2"/>
        <v>17.799999999999997</v>
      </c>
      <c r="H40" s="1">
        <v>38288</v>
      </c>
    </row>
    <row r="41" spans="1:8" ht="12.75">
      <c r="A41" s="1">
        <v>38291</v>
      </c>
      <c r="B41" t="s">
        <v>126</v>
      </c>
      <c r="C41">
        <v>42</v>
      </c>
      <c r="D41">
        <v>52</v>
      </c>
      <c r="E41">
        <f t="shared" si="0"/>
        <v>38.4</v>
      </c>
      <c r="F41">
        <f t="shared" si="1"/>
        <v>53.6</v>
      </c>
      <c r="G41">
        <f t="shared" si="2"/>
        <v>15.200000000000003</v>
      </c>
      <c r="H41" s="1">
        <v>38289</v>
      </c>
    </row>
    <row r="42" spans="1:8" ht="12.75">
      <c r="A42" s="1">
        <v>38292</v>
      </c>
      <c r="B42" t="s">
        <v>223</v>
      </c>
      <c r="C42">
        <v>34</v>
      </c>
      <c r="D42">
        <v>55</v>
      </c>
      <c r="E42">
        <f t="shared" si="0"/>
        <v>37.4</v>
      </c>
      <c r="F42">
        <f t="shared" si="1"/>
        <v>53.4</v>
      </c>
      <c r="G42">
        <f t="shared" si="2"/>
        <v>16</v>
      </c>
      <c r="H42" s="1">
        <v>38290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selection activeCell="C32" sqref="C32"/>
    </sheetView>
  </sheetViews>
  <sheetFormatPr defaultColWidth="11.00390625" defaultRowHeight="12.75"/>
  <sheetData>
    <row r="3" spans="3:7" ht="12.75">
      <c r="C3" s="3" t="s">
        <v>150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37950</v>
      </c>
      <c r="B5" t="s">
        <v>126</v>
      </c>
      <c r="C5">
        <v>50</v>
      </c>
      <c r="D5">
        <v>40</v>
      </c>
      <c r="E5">
        <f aca="true" t="shared" si="0" ref="E5:E37">AVERAGE(C1:C5)</f>
        <v>50</v>
      </c>
      <c r="F5">
        <f aca="true" t="shared" si="1" ref="F5:F37">AVERAGE(D1:D5)</f>
        <v>40</v>
      </c>
      <c r="G5">
        <f aca="true" t="shared" si="2" ref="G5:G37">F5-E5</f>
        <v>-10</v>
      </c>
      <c r="H5" s="1">
        <v>37950</v>
      </c>
    </row>
    <row r="6" spans="1:8" ht="12.75">
      <c r="A6" s="1">
        <v>37974</v>
      </c>
      <c r="B6" t="s">
        <v>126</v>
      </c>
      <c r="C6">
        <v>51</v>
      </c>
      <c r="D6">
        <v>40</v>
      </c>
      <c r="E6">
        <f t="shared" si="0"/>
        <v>50.5</v>
      </c>
      <c r="F6">
        <f t="shared" si="1"/>
        <v>40</v>
      </c>
      <c r="G6">
        <f t="shared" si="2"/>
        <v>-10.5</v>
      </c>
      <c r="H6" s="1">
        <v>37974</v>
      </c>
    </row>
    <row r="7" spans="1:9" ht="12.75">
      <c r="A7" s="1">
        <v>38088</v>
      </c>
      <c r="B7" t="s">
        <v>126</v>
      </c>
      <c r="C7">
        <v>40</v>
      </c>
      <c r="D7">
        <v>55</v>
      </c>
      <c r="E7">
        <f t="shared" si="0"/>
        <v>47</v>
      </c>
      <c r="F7">
        <f t="shared" si="1"/>
        <v>45</v>
      </c>
      <c r="G7">
        <f t="shared" si="2"/>
        <v>-2</v>
      </c>
      <c r="H7" s="1">
        <v>38033</v>
      </c>
      <c r="I7" t="s">
        <v>46</v>
      </c>
    </row>
    <row r="8" spans="1:9" ht="12.75">
      <c r="A8" s="1">
        <v>38088</v>
      </c>
      <c r="B8" t="s">
        <v>169</v>
      </c>
      <c r="C8">
        <v>44</v>
      </c>
      <c r="D8">
        <v>44</v>
      </c>
      <c r="E8">
        <f t="shared" si="0"/>
        <v>46.25</v>
      </c>
      <c r="F8">
        <f t="shared" si="1"/>
        <v>44.75</v>
      </c>
      <c r="G8">
        <f t="shared" si="2"/>
        <v>-1.5</v>
      </c>
      <c r="H8" s="1">
        <v>38034</v>
      </c>
      <c r="I8" t="s">
        <v>46</v>
      </c>
    </row>
    <row r="9" spans="1:9" ht="12.75">
      <c r="A9" s="1">
        <v>38051</v>
      </c>
      <c r="B9" t="s">
        <v>126</v>
      </c>
      <c r="C9">
        <v>43</v>
      </c>
      <c r="D9">
        <v>50</v>
      </c>
      <c r="E9">
        <f t="shared" si="0"/>
        <v>45.6</v>
      </c>
      <c r="F9">
        <f t="shared" si="1"/>
        <v>45.8</v>
      </c>
      <c r="G9">
        <f t="shared" si="2"/>
        <v>0.19999999999999574</v>
      </c>
      <c r="H9" s="1">
        <v>38044</v>
      </c>
      <c r="I9" t="s">
        <v>46</v>
      </c>
    </row>
    <row r="10" spans="1:9" ht="12.75">
      <c r="A10" s="1">
        <v>38088</v>
      </c>
      <c r="B10" t="s">
        <v>126</v>
      </c>
      <c r="C10">
        <v>45</v>
      </c>
      <c r="D10">
        <v>51</v>
      </c>
      <c r="E10">
        <f t="shared" si="0"/>
        <v>44.6</v>
      </c>
      <c r="F10">
        <f t="shared" si="1"/>
        <v>48</v>
      </c>
      <c r="G10">
        <f t="shared" si="2"/>
        <v>3.3999999999999986</v>
      </c>
      <c r="H10" s="1">
        <v>38061</v>
      </c>
      <c r="I10" t="s">
        <v>46</v>
      </c>
    </row>
    <row r="11" spans="1:9" ht="12.75">
      <c r="A11" s="1">
        <v>38087</v>
      </c>
      <c r="B11" t="s">
        <v>169</v>
      </c>
      <c r="C11">
        <v>42</v>
      </c>
      <c r="D11">
        <v>45</v>
      </c>
      <c r="E11">
        <f t="shared" si="0"/>
        <v>42.8</v>
      </c>
      <c r="F11">
        <f t="shared" si="1"/>
        <v>49</v>
      </c>
      <c r="G11">
        <f t="shared" si="2"/>
        <v>6.200000000000003</v>
      </c>
      <c r="H11" s="1">
        <v>38084</v>
      </c>
      <c r="I11" t="s">
        <v>46</v>
      </c>
    </row>
    <row r="12" spans="1:8" ht="12.75">
      <c r="A12" s="1">
        <v>38094</v>
      </c>
      <c r="B12" t="s">
        <v>126</v>
      </c>
      <c r="C12">
        <v>50</v>
      </c>
      <c r="D12">
        <v>44</v>
      </c>
      <c r="E12">
        <f t="shared" si="0"/>
        <v>44.8</v>
      </c>
      <c r="F12">
        <f t="shared" si="1"/>
        <v>46.8</v>
      </c>
      <c r="G12">
        <f t="shared" si="2"/>
        <v>2</v>
      </c>
      <c r="H12" s="1">
        <v>38089</v>
      </c>
    </row>
    <row r="13" spans="1:8" ht="12.75">
      <c r="A13" s="1">
        <v>38123</v>
      </c>
      <c r="B13" t="s">
        <v>169</v>
      </c>
      <c r="C13">
        <v>41</v>
      </c>
      <c r="D13">
        <v>50</v>
      </c>
      <c r="E13">
        <f t="shared" si="0"/>
        <v>44.2</v>
      </c>
      <c r="F13">
        <f t="shared" si="1"/>
        <v>48</v>
      </c>
      <c r="G13">
        <f t="shared" si="2"/>
        <v>3.799999999999997</v>
      </c>
      <c r="H13" s="1">
        <v>38120</v>
      </c>
    </row>
    <row r="14" spans="1:8" ht="12.75">
      <c r="A14" s="1">
        <v>38126</v>
      </c>
      <c r="B14" t="s">
        <v>126</v>
      </c>
      <c r="C14">
        <v>44</v>
      </c>
      <c r="D14">
        <v>44</v>
      </c>
      <c r="E14">
        <f t="shared" si="0"/>
        <v>44.4</v>
      </c>
      <c r="F14">
        <f t="shared" si="1"/>
        <v>46.8</v>
      </c>
      <c r="G14">
        <f t="shared" si="2"/>
        <v>2.3999999999999986</v>
      </c>
      <c r="H14" s="1">
        <v>38124</v>
      </c>
    </row>
    <row r="15" spans="1:8" ht="12.75">
      <c r="A15" s="1">
        <v>38161</v>
      </c>
      <c r="B15" t="s">
        <v>169</v>
      </c>
      <c r="C15">
        <v>39</v>
      </c>
      <c r="D15">
        <v>47</v>
      </c>
      <c r="E15">
        <f t="shared" si="0"/>
        <v>43.2</v>
      </c>
      <c r="F15">
        <f t="shared" si="1"/>
        <v>46</v>
      </c>
      <c r="G15">
        <f t="shared" si="2"/>
        <v>2.799999999999997</v>
      </c>
      <c r="H15" s="1">
        <v>38156</v>
      </c>
    </row>
    <row r="16" spans="1:8" ht="12.75">
      <c r="A16" s="1">
        <v>38162</v>
      </c>
      <c r="B16" t="s">
        <v>126</v>
      </c>
      <c r="C16">
        <v>46</v>
      </c>
      <c r="D16">
        <v>49</v>
      </c>
      <c r="E16">
        <f t="shared" si="0"/>
        <v>44</v>
      </c>
      <c r="F16">
        <f t="shared" si="1"/>
        <v>46.8</v>
      </c>
      <c r="G16">
        <f t="shared" si="2"/>
        <v>2.799999999999997</v>
      </c>
      <c r="H16" s="1">
        <v>38156</v>
      </c>
    </row>
    <row r="17" spans="1:8" ht="12.75">
      <c r="A17" s="1">
        <v>38176</v>
      </c>
      <c r="B17" t="s">
        <v>239</v>
      </c>
      <c r="C17">
        <v>33</v>
      </c>
      <c r="D17">
        <v>49</v>
      </c>
      <c r="E17">
        <f t="shared" si="0"/>
        <v>40.6</v>
      </c>
      <c r="F17">
        <f t="shared" si="1"/>
        <v>47.8</v>
      </c>
      <c r="G17">
        <f t="shared" si="2"/>
        <v>7.199999999999996</v>
      </c>
      <c r="H17" s="1">
        <v>38167</v>
      </c>
    </row>
    <row r="18" spans="1:8" ht="12.75">
      <c r="A18" s="1">
        <v>38193</v>
      </c>
      <c r="B18" t="s">
        <v>169</v>
      </c>
      <c r="C18">
        <v>43</v>
      </c>
      <c r="D18">
        <v>49</v>
      </c>
      <c r="E18">
        <f t="shared" si="0"/>
        <v>41</v>
      </c>
      <c r="F18">
        <f t="shared" si="1"/>
        <v>47.6</v>
      </c>
      <c r="G18">
        <f t="shared" si="2"/>
        <v>6.600000000000001</v>
      </c>
      <c r="H18" s="1">
        <v>38191</v>
      </c>
    </row>
    <row r="19" spans="1:8" ht="12.75">
      <c r="A19" s="1">
        <v>38223</v>
      </c>
      <c r="B19" t="s">
        <v>301</v>
      </c>
      <c r="C19">
        <v>45</v>
      </c>
      <c r="D19">
        <v>41</v>
      </c>
      <c r="E19">
        <f t="shared" si="0"/>
        <v>41.2</v>
      </c>
      <c r="F19">
        <f t="shared" si="1"/>
        <v>47</v>
      </c>
      <c r="G19">
        <f t="shared" si="2"/>
        <v>5.799999999999997</v>
      </c>
      <c r="H19" s="1">
        <v>38213</v>
      </c>
    </row>
    <row r="20" spans="1:9" ht="12.75">
      <c r="A20" s="1">
        <v>38221</v>
      </c>
      <c r="B20" t="s">
        <v>41</v>
      </c>
      <c r="C20">
        <v>37</v>
      </c>
      <c r="D20">
        <v>46</v>
      </c>
      <c r="E20">
        <f t="shared" si="0"/>
        <v>40.8</v>
      </c>
      <c r="F20">
        <f t="shared" si="1"/>
        <v>46.8</v>
      </c>
      <c r="G20">
        <f t="shared" si="2"/>
        <v>6</v>
      </c>
      <c r="H20" s="1">
        <v>38217</v>
      </c>
      <c r="I20">
        <f aca="true" t="shared" si="3" ref="I20:I37">D20-C20</f>
        <v>9</v>
      </c>
    </row>
    <row r="21" spans="1:9" ht="12.75">
      <c r="A21" s="1">
        <v>38220</v>
      </c>
      <c r="B21" t="s">
        <v>169</v>
      </c>
      <c r="C21">
        <v>44</v>
      </c>
      <c r="D21">
        <v>48</v>
      </c>
      <c r="E21">
        <f t="shared" si="0"/>
        <v>40.4</v>
      </c>
      <c r="F21">
        <f t="shared" si="1"/>
        <v>46.6</v>
      </c>
      <c r="G21">
        <f t="shared" si="2"/>
        <v>6.200000000000003</v>
      </c>
      <c r="H21" s="1">
        <v>38218</v>
      </c>
      <c r="I21">
        <f t="shared" si="3"/>
        <v>4</v>
      </c>
    </row>
    <row r="22" spans="1:9" ht="12.75">
      <c r="A22" s="1">
        <v>38226</v>
      </c>
      <c r="B22" t="s">
        <v>109</v>
      </c>
      <c r="C22">
        <v>36</v>
      </c>
      <c r="D22">
        <v>50</v>
      </c>
      <c r="E22">
        <f t="shared" si="0"/>
        <v>41</v>
      </c>
      <c r="F22">
        <f t="shared" si="1"/>
        <v>46.8</v>
      </c>
      <c r="G22">
        <f t="shared" si="2"/>
        <v>5.799999999999997</v>
      </c>
      <c r="H22" s="1">
        <v>38224</v>
      </c>
      <c r="I22">
        <f t="shared" si="3"/>
        <v>14</v>
      </c>
    </row>
    <row r="23" spans="1:9" ht="12.75">
      <c r="A23" s="1">
        <v>38240</v>
      </c>
      <c r="B23" t="s">
        <v>169</v>
      </c>
      <c r="C23">
        <v>49</v>
      </c>
      <c r="D23">
        <v>47</v>
      </c>
      <c r="E23">
        <f t="shared" si="0"/>
        <v>42.2</v>
      </c>
      <c r="F23">
        <f t="shared" si="1"/>
        <v>46.4</v>
      </c>
      <c r="G23">
        <f t="shared" si="2"/>
        <v>4.199999999999996</v>
      </c>
      <c r="H23" s="1">
        <v>38237</v>
      </c>
      <c r="I23">
        <f t="shared" si="3"/>
        <v>-2</v>
      </c>
    </row>
    <row r="24" spans="1:9" ht="12.75">
      <c r="A24" s="1">
        <v>38243</v>
      </c>
      <c r="B24" t="s">
        <v>41</v>
      </c>
      <c r="C24">
        <v>44.1</v>
      </c>
      <c r="D24">
        <v>45.6</v>
      </c>
      <c r="E24">
        <f t="shared" si="0"/>
        <v>42.019999999999996</v>
      </c>
      <c r="F24">
        <f t="shared" si="1"/>
        <v>47.32</v>
      </c>
      <c r="G24">
        <f t="shared" si="2"/>
        <v>5.300000000000004</v>
      </c>
      <c r="H24" s="1">
        <v>38241</v>
      </c>
      <c r="I24">
        <f t="shared" si="3"/>
        <v>1.5</v>
      </c>
    </row>
    <row r="25" spans="1:9" ht="12.75">
      <c r="A25" s="1">
        <v>38248</v>
      </c>
      <c r="B25" t="s">
        <v>22</v>
      </c>
      <c r="C25">
        <v>42</v>
      </c>
      <c r="D25">
        <v>49</v>
      </c>
      <c r="E25">
        <f t="shared" si="0"/>
        <v>43.019999999999996</v>
      </c>
      <c r="F25">
        <f t="shared" si="1"/>
        <v>47.92</v>
      </c>
      <c r="G25">
        <f t="shared" si="2"/>
        <v>4.900000000000006</v>
      </c>
      <c r="H25" s="1">
        <v>38244</v>
      </c>
      <c r="I25">
        <f t="shared" si="3"/>
        <v>7</v>
      </c>
    </row>
    <row r="26" spans="1:9" ht="12.75">
      <c r="A26" s="1">
        <v>38247</v>
      </c>
      <c r="B26" t="s">
        <v>126</v>
      </c>
      <c r="C26">
        <v>44</v>
      </c>
      <c r="D26">
        <v>52</v>
      </c>
      <c r="E26">
        <f t="shared" si="0"/>
        <v>43.019999999999996</v>
      </c>
      <c r="F26">
        <f t="shared" si="1"/>
        <v>48.72</v>
      </c>
      <c r="G26">
        <f t="shared" si="2"/>
        <v>5.700000000000003</v>
      </c>
      <c r="H26" s="1">
        <v>38245</v>
      </c>
      <c r="I26">
        <f t="shared" si="3"/>
        <v>8</v>
      </c>
    </row>
    <row r="27" spans="1:9" ht="12.75">
      <c r="A27" s="1">
        <v>38247</v>
      </c>
      <c r="B27" t="s">
        <v>59</v>
      </c>
      <c r="C27">
        <v>44</v>
      </c>
      <c r="D27">
        <v>51</v>
      </c>
      <c r="E27">
        <f t="shared" si="0"/>
        <v>44.62</v>
      </c>
      <c r="F27">
        <f t="shared" si="1"/>
        <v>48.92</v>
      </c>
      <c r="G27">
        <f t="shared" si="2"/>
        <v>4.300000000000004</v>
      </c>
      <c r="H27" s="1">
        <v>38246</v>
      </c>
      <c r="I27">
        <f t="shared" si="3"/>
        <v>7</v>
      </c>
    </row>
    <row r="28" spans="1:9" ht="12.75">
      <c r="A28" s="1">
        <v>38252</v>
      </c>
      <c r="B28" t="s">
        <v>93</v>
      </c>
      <c r="C28">
        <v>42</v>
      </c>
      <c r="D28">
        <v>53</v>
      </c>
      <c r="E28">
        <f t="shared" si="0"/>
        <v>43.22</v>
      </c>
      <c r="F28">
        <f t="shared" si="1"/>
        <v>50.12</v>
      </c>
      <c r="G28">
        <f t="shared" si="2"/>
        <v>6.899999999999999</v>
      </c>
      <c r="H28" s="1">
        <v>38248</v>
      </c>
      <c r="I28">
        <f t="shared" si="3"/>
        <v>11</v>
      </c>
    </row>
    <row r="29" spans="1:9" ht="12.75">
      <c r="A29" s="1">
        <v>38262</v>
      </c>
      <c r="B29" t="s">
        <v>126</v>
      </c>
      <c r="C29">
        <v>44</v>
      </c>
      <c r="D29">
        <v>52</v>
      </c>
      <c r="E29">
        <f t="shared" si="0"/>
        <v>43.2</v>
      </c>
      <c r="F29">
        <f t="shared" si="1"/>
        <v>51.4</v>
      </c>
      <c r="G29">
        <f t="shared" si="2"/>
        <v>8.199999999999996</v>
      </c>
      <c r="H29" s="1">
        <v>38259</v>
      </c>
      <c r="I29">
        <f t="shared" si="3"/>
        <v>8</v>
      </c>
    </row>
    <row r="30" spans="1:9" ht="12.75">
      <c r="A30" s="1">
        <v>38262</v>
      </c>
      <c r="B30" t="s">
        <v>169</v>
      </c>
      <c r="C30">
        <v>44</v>
      </c>
      <c r="D30">
        <v>49</v>
      </c>
      <c r="E30">
        <f t="shared" si="0"/>
        <v>43.6</v>
      </c>
      <c r="F30">
        <f t="shared" si="1"/>
        <v>51.4</v>
      </c>
      <c r="G30">
        <f t="shared" si="2"/>
        <v>7.799999999999997</v>
      </c>
      <c r="H30" s="1">
        <v>38260</v>
      </c>
      <c r="I30">
        <f t="shared" si="3"/>
        <v>5</v>
      </c>
    </row>
    <row r="31" spans="1:9" ht="12.75">
      <c r="A31" s="1">
        <v>38265</v>
      </c>
      <c r="B31" t="s">
        <v>306</v>
      </c>
      <c r="C31">
        <v>40</v>
      </c>
      <c r="D31">
        <v>45</v>
      </c>
      <c r="E31">
        <f t="shared" si="0"/>
        <v>42.8</v>
      </c>
      <c r="F31">
        <f t="shared" si="1"/>
        <v>50</v>
      </c>
      <c r="G31">
        <f t="shared" si="2"/>
        <v>7.200000000000003</v>
      </c>
      <c r="H31" s="1">
        <v>38261</v>
      </c>
      <c r="I31">
        <f t="shared" si="3"/>
        <v>5</v>
      </c>
    </row>
    <row r="32" spans="1:9" ht="12.75">
      <c r="A32" s="1">
        <v>38274</v>
      </c>
      <c r="B32" t="s">
        <v>126</v>
      </c>
      <c r="C32">
        <v>45</v>
      </c>
      <c r="D32">
        <v>52</v>
      </c>
      <c r="E32">
        <f t="shared" si="0"/>
        <v>43</v>
      </c>
      <c r="F32">
        <f t="shared" si="1"/>
        <v>50.2</v>
      </c>
      <c r="G32">
        <f t="shared" si="2"/>
        <v>7.200000000000003</v>
      </c>
      <c r="H32" s="1">
        <v>38272</v>
      </c>
      <c r="I32">
        <f t="shared" si="3"/>
        <v>7</v>
      </c>
    </row>
    <row r="33" spans="1:9" ht="12.75">
      <c r="A33" s="1">
        <v>38275</v>
      </c>
      <c r="B33" t="s">
        <v>169</v>
      </c>
      <c r="C33">
        <v>42</v>
      </c>
      <c r="D33">
        <v>55</v>
      </c>
      <c r="E33">
        <f t="shared" si="0"/>
        <v>43</v>
      </c>
      <c r="F33">
        <f t="shared" si="1"/>
        <v>50.6</v>
      </c>
      <c r="G33">
        <f t="shared" si="2"/>
        <v>7.600000000000001</v>
      </c>
      <c r="H33" s="1">
        <v>38272</v>
      </c>
      <c r="I33">
        <f t="shared" si="3"/>
        <v>13</v>
      </c>
    </row>
    <row r="34" spans="1:12" ht="12.75">
      <c r="A34" s="1">
        <v>38276</v>
      </c>
      <c r="B34" t="s">
        <v>41</v>
      </c>
      <c r="C34">
        <v>43.5</v>
      </c>
      <c r="D34">
        <v>51.2</v>
      </c>
      <c r="E34">
        <f t="shared" si="0"/>
        <v>42.9</v>
      </c>
      <c r="F34">
        <f t="shared" si="1"/>
        <v>50.44</v>
      </c>
      <c r="G34">
        <f t="shared" si="2"/>
        <v>7.539999999999999</v>
      </c>
      <c r="H34" s="1">
        <v>38272</v>
      </c>
      <c r="I34">
        <f t="shared" si="3"/>
        <v>7.700000000000003</v>
      </c>
      <c r="J34">
        <f>AVERAGE(C32:C34)</f>
        <v>43.5</v>
      </c>
      <c r="K34">
        <f>AVERAGE(D32:D34)</f>
        <v>52.73333333333333</v>
      </c>
      <c r="L34">
        <f>K34-J34</f>
        <v>9.233333333333327</v>
      </c>
    </row>
    <row r="35" spans="1:9" ht="12.75">
      <c r="A35" s="1">
        <v>38281</v>
      </c>
      <c r="B35" t="s">
        <v>41</v>
      </c>
      <c r="C35">
        <v>46</v>
      </c>
      <c r="D35">
        <v>46</v>
      </c>
      <c r="E35">
        <f t="shared" si="0"/>
        <v>43.3</v>
      </c>
      <c r="F35">
        <f t="shared" si="1"/>
        <v>49.839999999999996</v>
      </c>
      <c r="G35">
        <f t="shared" si="2"/>
        <v>6.539999999999999</v>
      </c>
      <c r="H35" s="1">
        <v>38279</v>
      </c>
      <c r="I35">
        <f t="shared" si="3"/>
        <v>0</v>
      </c>
    </row>
    <row r="36" spans="1:9" ht="12.75">
      <c r="A36" s="1">
        <v>38289</v>
      </c>
      <c r="B36" t="s">
        <v>169</v>
      </c>
      <c r="C36">
        <v>44</v>
      </c>
      <c r="D36">
        <v>54</v>
      </c>
      <c r="E36">
        <f t="shared" si="0"/>
        <v>44.1</v>
      </c>
      <c r="F36">
        <f t="shared" si="1"/>
        <v>51.64</v>
      </c>
      <c r="G36">
        <f t="shared" si="2"/>
        <v>7.539999999999999</v>
      </c>
      <c r="H36" s="1">
        <v>38287</v>
      </c>
      <c r="I36">
        <f t="shared" si="3"/>
        <v>10</v>
      </c>
    </row>
    <row r="37" spans="1:9" ht="12.75">
      <c r="A37" s="1">
        <v>38291</v>
      </c>
      <c r="B37" t="s">
        <v>93</v>
      </c>
      <c r="C37">
        <v>41</v>
      </c>
      <c r="D37">
        <v>58</v>
      </c>
      <c r="E37">
        <f t="shared" si="0"/>
        <v>43.3</v>
      </c>
      <c r="F37">
        <f t="shared" si="1"/>
        <v>52.839999999999996</v>
      </c>
      <c r="G37">
        <f t="shared" si="2"/>
        <v>9.54</v>
      </c>
      <c r="H37" s="1">
        <v>38289</v>
      </c>
      <c r="I37">
        <f t="shared" si="3"/>
        <v>17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3:K36"/>
  <sheetViews>
    <sheetView zoomScalePageLayoutView="0" workbookViewId="0" topLeftCell="A1">
      <selection activeCell="C32" sqref="C32"/>
    </sheetView>
  </sheetViews>
  <sheetFormatPr defaultColWidth="11.00390625" defaultRowHeight="12.75"/>
  <sheetData>
    <row r="3" spans="3:7" ht="12.75">
      <c r="C3" s="3" t="s">
        <v>161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37952</v>
      </c>
      <c r="B5" t="s">
        <v>126</v>
      </c>
      <c r="C5">
        <v>43</v>
      </c>
      <c r="D5">
        <v>49</v>
      </c>
      <c r="E5">
        <f>AVERAGE(C1:C5)</f>
        <v>43</v>
      </c>
      <c r="F5">
        <f>AVERAGE(D1:D5)</f>
        <v>49</v>
      </c>
      <c r="G5">
        <f>F5-E5</f>
        <v>6</v>
      </c>
      <c r="H5" s="1">
        <v>38006</v>
      </c>
    </row>
    <row r="6" spans="1:8" ht="12.75">
      <c r="A6" s="1">
        <v>38037</v>
      </c>
      <c r="B6" t="s">
        <v>126</v>
      </c>
      <c r="C6">
        <v>36</v>
      </c>
      <c r="D6">
        <v>57</v>
      </c>
      <c r="E6">
        <f>AVERAGE(C2:C6)</f>
        <v>39.5</v>
      </c>
      <c r="F6">
        <f>AVERAGE(D2:D6)</f>
        <v>53</v>
      </c>
      <c r="G6">
        <f>F6-E6</f>
        <v>13.5</v>
      </c>
      <c r="H6" s="1">
        <v>38033</v>
      </c>
    </row>
    <row r="7" spans="1:8" ht="12.75">
      <c r="A7" s="1">
        <v>38051</v>
      </c>
      <c r="B7" t="s">
        <v>126</v>
      </c>
      <c r="C7">
        <v>38</v>
      </c>
      <c r="D7">
        <v>52</v>
      </c>
      <c r="E7">
        <f>AVERAGE(C3:C7)</f>
        <v>39</v>
      </c>
      <c r="F7">
        <f>AVERAGE(D3:D7)</f>
        <v>52.666666666666664</v>
      </c>
      <c r="G7">
        <f>F7-E7</f>
        <v>13.666666666666664</v>
      </c>
      <c r="H7" s="1">
        <v>38044</v>
      </c>
    </row>
    <row r="8" spans="1:8" ht="12.75">
      <c r="A8" s="1">
        <v>38115</v>
      </c>
      <c r="B8" t="s">
        <v>280</v>
      </c>
      <c r="C8">
        <v>38</v>
      </c>
      <c r="D8">
        <v>49</v>
      </c>
      <c r="E8">
        <f>AVERAGE(C4:C8)</f>
        <v>38.75</v>
      </c>
      <c r="F8">
        <f>AVERAGE(D4:D8)</f>
        <v>51.75</v>
      </c>
      <c r="G8">
        <f>F8-E8</f>
        <v>13</v>
      </c>
      <c r="H8" s="1">
        <v>38063</v>
      </c>
    </row>
    <row r="9" spans="1:8" ht="12.75">
      <c r="A9" s="1">
        <v>38086</v>
      </c>
      <c r="B9" t="s">
        <v>57</v>
      </c>
      <c r="C9">
        <v>48</v>
      </c>
      <c r="D9">
        <v>46</v>
      </c>
      <c r="E9">
        <f>AVERAGE(C5:C9)</f>
        <v>40.6</v>
      </c>
      <c r="F9">
        <f>AVERAGE(D5:D9)</f>
        <v>50.6</v>
      </c>
      <c r="G9">
        <f>F9-E9</f>
        <v>10</v>
      </c>
      <c r="H9" s="1">
        <v>38080</v>
      </c>
    </row>
    <row r="10" spans="1:8" ht="12.75">
      <c r="A10" s="1">
        <v>38094</v>
      </c>
      <c r="B10" t="s">
        <v>126</v>
      </c>
      <c r="C10">
        <v>43</v>
      </c>
      <c r="D10">
        <v>52</v>
      </c>
      <c r="E10">
        <f>AVERAGE(C6:C10)</f>
        <v>40.6</v>
      </c>
      <c r="F10">
        <f>AVERAGE(D6:D10)</f>
        <v>51.2</v>
      </c>
      <c r="G10">
        <f>F10-E10</f>
        <v>10.600000000000001</v>
      </c>
      <c r="H10" s="1">
        <v>38089</v>
      </c>
    </row>
    <row r="11" spans="1:8" ht="12.75">
      <c r="A11" s="1">
        <v>38100</v>
      </c>
      <c r="B11" t="s">
        <v>196</v>
      </c>
      <c r="C11">
        <v>40</v>
      </c>
      <c r="D11">
        <v>45</v>
      </c>
      <c r="E11">
        <f>AVERAGE(C7:C11)</f>
        <v>41.4</v>
      </c>
      <c r="F11">
        <f>AVERAGE(D7:D11)</f>
        <v>48.8</v>
      </c>
      <c r="G11">
        <f>F11-E11</f>
        <v>7.399999999999999</v>
      </c>
      <c r="H11" s="1">
        <v>38100</v>
      </c>
    </row>
    <row r="12" spans="1:8" ht="12.75">
      <c r="A12" s="1">
        <v>38109</v>
      </c>
      <c r="B12" t="s">
        <v>169</v>
      </c>
      <c r="C12">
        <v>35</v>
      </c>
      <c r="D12">
        <v>52</v>
      </c>
      <c r="E12">
        <f>AVERAGE(C8:C12)</f>
        <v>40.8</v>
      </c>
      <c r="F12">
        <f>AVERAGE(D8:D12)</f>
        <v>48.8</v>
      </c>
      <c r="G12">
        <f>F12-E12</f>
        <v>8</v>
      </c>
      <c r="H12" s="1">
        <v>38107</v>
      </c>
    </row>
    <row r="13" spans="1:8" ht="12.75">
      <c r="A13" s="1">
        <v>38126</v>
      </c>
      <c r="B13" t="s">
        <v>196</v>
      </c>
      <c r="C13">
        <v>38</v>
      </c>
      <c r="D13">
        <v>49</v>
      </c>
      <c r="E13">
        <f>AVERAGE(C9:C13)</f>
        <v>40.8</v>
      </c>
      <c r="F13">
        <f>AVERAGE(D9:D13)</f>
        <v>48.8</v>
      </c>
      <c r="G13">
        <f>F13-E13</f>
        <v>8</v>
      </c>
      <c r="H13" s="1">
        <v>38121</v>
      </c>
    </row>
    <row r="14" spans="1:8" ht="12.75">
      <c r="A14" s="1">
        <v>38141</v>
      </c>
      <c r="B14" t="s">
        <v>126</v>
      </c>
      <c r="C14">
        <v>38</v>
      </c>
      <c r="D14">
        <v>48</v>
      </c>
      <c r="E14">
        <f>AVERAGE(C10:C14)</f>
        <v>38.8</v>
      </c>
      <c r="F14">
        <f>AVERAGE(D10:D14)</f>
        <v>49.2</v>
      </c>
      <c r="G14">
        <f>F14-E14</f>
        <v>10.400000000000006</v>
      </c>
      <c r="H14" s="1">
        <v>38124</v>
      </c>
    </row>
    <row r="15" spans="1:8" ht="12.75">
      <c r="A15" s="1">
        <v>38136</v>
      </c>
      <c r="B15" t="s">
        <v>169</v>
      </c>
      <c r="C15">
        <v>33</v>
      </c>
      <c r="D15">
        <v>52</v>
      </c>
      <c r="E15">
        <f>AVERAGE(C11:C15)</f>
        <v>36.8</v>
      </c>
      <c r="F15">
        <f>AVERAGE(D11:D15)</f>
        <v>49.2</v>
      </c>
      <c r="G15">
        <f>F15-E15</f>
        <v>12.400000000000006</v>
      </c>
      <c r="H15" s="1">
        <v>38136</v>
      </c>
    </row>
    <row r="16" spans="1:8" ht="12.75">
      <c r="A16" s="1">
        <v>38149</v>
      </c>
      <c r="B16" t="s">
        <v>280</v>
      </c>
      <c r="C16">
        <v>36</v>
      </c>
      <c r="D16">
        <v>50</v>
      </c>
      <c r="E16">
        <f>AVERAGE(C12:C16)</f>
        <v>36</v>
      </c>
      <c r="F16">
        <f>AVERAGE(D12:D16)</f>
        <v>50.2</v>
      </c>
      <c r="G16">
        <f>F16-E16</f>
        <v>14.200000000000003</v>
      </c>
      <c r="H16" s="1">
        <v>38148</v>
      </c>
    </row>
    <row r="17" spans="1:8" ht="12.75">
      <c r="A17" s="1">
        <v>38153</v>
      </c>
      <c r="B17" t="s">
        <v>284</v>
      </c>
      <c r="C17">
        <v>32</v>
      </c>
      <c r="D17">
        <v>51</v>
      </c>
      <c r="E17">
        <f>AVERAGE(C13:C17)</f>
        <v>35.4</v>
      </c>
      <c r="F17">
        <f>AVERAGE(D13:D17)</f>
        <v>50</v>
      </c>
      <c r="G17">
        <f>F17-E17</f>
        <v>14.600000000000001</v>
      </c>
      <c r="H17" s="1">
        <v>38153</v>
      </c>
    </row>
    <row r="18" spans="1:8" ht="12.75">
      <c r="A18" s="1">
        <v>38154</v>
      </c>
      <c r="B18" t="s">
        <v>196</v>
      </c>
      <c r="C18">
        <v>33</v>
      </c>
      <c r="D18">
        <v>51</v>
      </c>
      <c r="E18">
        <f>AVERAGE(C14:C18)</f>
        <v>34.4</v>
      </c>
      <c r="F18">
        <f>AVERAGE(D14:D18)</f>
        <v>50.4</v>
      </c>
      <c r="G18">
        <f>F18-E18</f>
        <v>16</v>
      </c>
      <c r="H18" s="1">
        <v>38153</v>
      </c>
    </row>
    <row r="19" spans="1:8" ht="12.75">
      <c r="A19" s="1">
        <v>38169</v>
      </c>
      <c r="B19" t="s">
        <v>126</v>
      </c>
      <c r="C19">
        <v>37</v>
      </c>
      <c r="D19">
        <v>57</v>
      </c>
      <c r="E19">
        <f>AVERAGE(C15:C19)</f>
        <v>34.2</v>
      </c>
      <c r="F19">
        <f>AVERAGE(D15:D19)</f>
        <v>52.2</v>
      </c>
      <c r="G19">
        <f>F19-E19</f>
        <v>18</v>
      </c>
      <c r="H19" s="1">
        <v>38164</v>
      </c>
    </row>
    <row r="20" spans="1:8" ht="12.75">
      <c r="A20" s="1">
        <v>38171</v>
      </c>
      <c r="B20" t="s">
        <v>169</v>
      </c>
      <c r="C20">
        <v>29</v>
      </c>
      <c r="D20">
        <v>60</v>
      </c>
      <c r="E20">
        <f>AVERAGE(C16:C20)</f>
        <v>33.4</v>
      </c>
      <c r="F20">
        <f>AVERAGE(D16:D20)</f>
        <v>53.8</v>
      </c>
      <c r="G20">
        <f>F20-E20</f>
        <v>20.4</v>
      </c>
      <c r="H20" s="1">
        <v>38167</v>
      </c>
    </row>
    <row r="21" spans="1:8" ht="12.75">
      <c r="A21" s="1">
        <v>38176</v>
      </c>
      <c r="B21" t="s">
        <v>239</v>
      </c>
      <c r="C21">
        <v>30</v>
      </c>
      <c r="D21">
        <v>51</v>
      </c>
      <c r="E21">
        <f>AVERAGE(C17:C21)</f>
        <v>32.2</v>
      </c>
      <c r="F21">
        <f>AVERAGE(D17:D21)</f>
        <v>54</v>
      </c>
      <c r="G21">
        <f>F21-E21</f>
        <v>21.799999999999997</v>
      </c>
      <c r="H21" s="1">
        <v>38167</v>
      </c>
    </row>
    <row r="22" spans="1:8" ht="12.75">
      <c r="A22" s="1">
        <v>38182</v>
      </c>
      <c r="B22" t="s">
        <v>196</v>
      </c>
      <c r="C22">
        <v>37</v>
      </c>
      <c r="D22">
        <v>50</v>
      </c>
      <c r="E22">
        <f>AVERAGE(C18:C22)</f>
        <v>33.2</v>
      </c>
      <c r="F22">
        <f>AVERAGE(D18:D22)</f>
        <v>53.8</v>
      </c>
      <c r="G22">
        <f>F22-E22</f>
        <v>20.599999999999994</v>
      </c>
      <c r="H22" s="1">
        <v>38177</v>
      </c>
    </row>
    <row r="23" spans="1:8" ht="12.75">
      <c r="A23" s="1">
        <v>38202</v>
      </c>
      <c r="B23" t="s">
        <v>196</v>
      </c>
      <c r="C23">
        <v>26</v>
      </c>
      <c r="D23">
        <v>44</v>
      </c>
      <c r="E23">
        <f>AVERAGE(C19:C23)</f>
        <v>31.8</v>
      </c>
      <c r="F23">
        <f>AVERAGE(D19:D23)</f>
        <v>52.4</v>
      </c>
      <c r="G23">
        <f>F23-E23</f>
        <v>20.599999999999998</v>
      </c>
      <c r="H23" s="1">
        <v>38196</v>
      </c>
    </row>
    <row r="24" spans="1:8" ht="12.75">
      <c r="A24" s="1">
        <v>38205</v>
      </c>
      <c r="B24" t="s">
        <v>169</v>
      </c>
      <c r="C24">
        <v>36</v>
      </c>
      <c r="D24">
        <v>55</v>
      </c>
      <c r="E24">
        <f>AVERAGE(C20:C24)</f>
        <v>31.6</v>
      </c>
      <c r="F24">
        <f>AVERAGE(D20:D24)</f>
        <v>52</v>
      </c>
      <c r="G24">
        <f>F24-E24</f>
        <v>20.4</v>
      </c>
      <c r="H24" s="1">
        <v>38202</v>
      </c>
    </row>
    <row r="25" spans="1:8" ht="12.75">
      <c r="A25" s="1">
        <v>38206</v>
      </c>
      <c r="B25" t="s">
        <v>280</v>
      </c>
      <c r="C25">
        <v>36</v>
      </c>
      <c r="D25">
        <v>57</v>
      </c>
      <c r="E25">
        <f>AVERAGE(C21:C25)</f>
        <v>33</v>
      </c>
      <c r="F25">
        <f>AVERAGE(D21:D25)</f>
        <v>51.4</v>
      </c>
      <c r="G25">
        <f>F25-E25</f>
        <v>18.4</v>
      </c>
      <c r="H25" s="1">
        <v>38202</v>
      </c>
    </row>
    <row r="26" spans="1:8" ht="12.75">
      <c r="A26" s="1">
        <v>38217</v>
      </c>
      <c r="B26" t="s">
        <v>196</v>
      </c>
      <c r="C26">
        <v>39</v>
      </c>
      <c r="D26">
        <v>47</v>
      </c>
      <c r="E26">
        <f>AVERAGE(C22:C26)</f>
        <v>34.8</v>
      </c>
      <c r="F26">
        <f>AVERAGE(D22:D26)</f>
        <v>50.6</v>
      </c>
      <c r="G26">
        <f>F26-E26</f>
        <v>15.800000000000004</v>
      </c>
      <c r="H26" s="1">
        <v>38212</v>
      </c>
    </row>
    <row r="27" spans="1:8" ht="12.75">
      <c r="A27" s="1">
        <v>38245</v>
      </c>
      <c r="B27" t="s">
        <v>196</v>
      </c>
      <c r="C27">
        <v>41</v>
      </c>
      <c r="D27">
        <v>46</v>
      </c>
      <c r="E27">
        <f>AVERAGE(C23:C27)</f>
        <v>35.6</v>
      </c>
      <c r="F27">
        <f>AVERAGE(D23:D27)</f>
        <v>49.8</v>
      </c>
      <c r="G27">
        <f>F27-E27</f>
        <v>14.199999999999996</v>
      </c>
      <c r="H27" s="1">
        <v>38239</v>
      </c>
    </row>
    <row r="28" spans="1:8" ht="12.75">
      <c r="A28" s="1">
        <v>38246</v>
      </c>
      <c r="B28" t="s">
        <v>169</v>
      </c>
      <c r="C28">
        <v>42</v>
      </c>
      <c r="D28">
        <v>55</v>
      </c>
      <c r="E28">
        <f>AVERAGE(C24:C28)</f>
        <v>38.8</v>
      </c>
      <c r="F28">
        <f>AVERAGE(D24:D28)</f>
        <v>52</v>
      </c>
      <c r="G28">
        <f>F28-E28</f>
        <v>13.200000000000003</v>
      </c>
      <c r="H28" s="1">
        <v>38244</v>
      </c>
    </row>
    <row r="29" spans="1:8" ht="12.75">
      <c r="A29" s="1">
        <v>38247</v>
      </c>
      <c r="B29" t="s">
        <v>59</v>
      </c>
      <c r="C29">
        <v>38</v>
      </c>
      <c r="D29">
        <v>55</v>
      </c>
      <c r="E29">
        <f>AVERAGE(C25:C29)</f>
        <v>39.2</v>
      </c>
      <c r="F29">
        <f>AVERAGE(D25:D29)</f>
        <v>52</v>
      </c>
      <c r="G29">
        <f>F29-E29</f>
        <v>12.799999999999997</v>
      </c>
      <c r="H29" s="1">
        <v>38245</v>
      </c>
    </row>
    <row r="30" spans="1:8" ht="12.75">
      <c r="A30" s="1">
        <v>38255</v>
      </c>
      <c r="B30" t="s">
        <v>126</v>
      </c>
      <c r="C30">
        <v>38</v>
      </c>
      <c r="D30">
        <v>57</v>
      </c>
      <c r="E30">
        <f>AVERAGE(C26:C30)</f>
        <v>39.6</v>
      </c>
      <c r="F30">
        <f>AVERAGE(D26:D30)</f>
        <v>52</v>
      </c>
      <c r="G30">
        <f>F30-E30</f>
        <v>12.399999999999999</v>
      </c>
      <c r="H30" s="1">
        <v>38253</v>
      </c>
    </row>
    <row r="31" spans="1:8" ht="12.75">
      <c r="A31" s="1">
        <v>38262</v>
      </c>
      <c r="B31" t="s">
        <v>196</v>
      </c>
      <c r="C31">
        <v>36</v>
      </c>
      <c r="D31">
        <v>58</v>
      </c>
      <c r="E31">
        <f>AVERAGE(C27:C31)</f>
        <v>39</v>
      </c>
      <c r="F31">
        <f>AVERAGE(D27:D31)</f>
        <v>54.2</v>
      </c>
      <c r="G31">
        <f>F31-E31</f>
        <v>15.200000000000003</v>
      </c>
      <c r="H31" s="1">
        <v>38259</v>
      </c>
    </row>
    <row r="32" spans="1:8" ht="12.75">
      <c r="A32" s="1">
        <v>38271</v>
      </c>
      <c r="B32" t="s">
        <v>126</v>
      </c>
      <c r="C32">
        <v>31</v>
      </c>
      <c r="D32">
        <v>64</v>
      </c>
      <c r="E32">
        <f>AVERAGE(C28:C32)</f>
        <v>37</v>
      </c>
      <c r="F32">
        <f>AVERAGE(D28:D32)</f>
        <v>57.8</v>
      </c>
      <c r="G32">
        <f>F32-E32</f>
        <v>20.799999999999997</v>
      </c>
      <c r="H32" s="1">
        <v>38271</v>
      </c>
    </row>
    <row r="33" spans="1:11" ht="12.75">
      <c r="A33" s="1">
        <v>38276</v>
      </c>
      <c r="B33" t="s">
        <v>169</v>
      </c>
      <c r="C33">
        <v>37</v>
      </c>
      <c r="D33">
        <v>57</v>
      </c>
      <c r="E33">
        <f>AVERAGE(C29:C33)</f>
        <v>36</v>
      </c>
      <c r="F33">
        <f>AVERAGE(D29:D33)</f>
        <v>58.2</v>
      </c>
      <c r="G33">
        <f>F33-E33</f>
        <v>22.200000000000003</v>
      </c>
      <c r="H33" s="1">
        <v>38273</v>
      </c>
      <c r="I33">
        <f>AVERAGE(C32:C33)</f>
        <v>34</v>
      </c>
      <c r="J33">
        <f>AVERAGE(D32:D33)</f>
        <v>60.5</v>
      </c>
      <c r="K33">
        <f>J33-I33</f>
        <v>26.5</v>
      </c>
    </row>
    <row r="34" spans="1:8" ht="12.75">
      <c r="A34" s="1">
        <v>38287</v>
      </c>
      <c r="B34" t="s">
        <v>196</v>
      </c>
      <c r="C34">
        <v>31</v>
      </c>
      <c r="D34">
        <v>62</v>
      </c>
      <c r="E34">
        <f>AVERAGE(C30:C34)</f>
        <v>34.6</v>
      </c>
      <c r="F34">
        <f>AVERAGE(D30:D34)</f>
        <v>59.6</v>
      </c>
      <c r="G34">
        <f>F34-E34</f>
        <v>25</v>
      </c>
      <c r="H34" s="1">
        <v>38280</v>
      </c>
    </row>
    <row r="35" spans="1:8" ht="12.75">
      <c r="A35" s="1">
        <v>38284</v>
      </c>
      <c r="B35" t="s">
        <v>57</v>
      </c>
      <c r="C35">
        <v>29</v>
      </c>
      <c r="D35">
        <v>65</v>
      </c>
      <c r="E35">
        <f>AVERAGE(C31:C35)</f>
        <v>32.8</v>
      </c>
      <c r="F35">
        <f>AVERAGE(D31:D35)</f>
        <v>61.2</v>
      </c>
      <c r="G35">
        <f>F35-E35</f>
        <v>28.400000000000006</v>
      </c>
      <c r="H35" s="1">
        <v>38281</v>
      </c>
    </row>
    <row r="36" spans="1:8" ht="12.75">
      <c r="A36" s="1">
        <v>38289</v>
      </c>
      <c r="B36" t="s">
        <v>126</v>
      </c>
      <c r="C36">
        <v>33</v>
      </c>
      <c r="D36">
        <v>62</v>
      </c>
      <c r="E36">
        <f>AVERAGE(C32:C36)</f>
        <v>32.2</v>
      </c>
      <c r="F36">
        <f>AVERAGE(D32:D36)</f>
        <v>62</v>
      </c>
      <c r="G36">
        <f>F36-E36</f>
        <v>29.799999999999997</v>
      </c>
      <c r="H36" s="1">
        <v>38287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3:K82"/>
  <sheetViews>
    <sheetView zoomScalePageLayoutView="0" workbookViewId="0" topLeftCell="A1">
      <pane ySplit="2080" topLeftCell="BM60" activePane="bottomLeft" state="split"/>
      <selection pane="topLeft" activeCell="C54" sqref="C54"/>
      <selection pane="bottomLeft" activeCell="D86" sqref="D86"/>
    </sheetView>
  </sheetViews>
  <sheetFormatPr defaultColWidth="11.00390625" defaultRowHeight="12.75"/>
  <sheetData>
    <row r="3" spans="3:7" ht="12.75">
      <c r="C3" s="3" t="s">
        <v>176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97</v>
      </c>
    </row>
    <row r="5" spans="1:8" ht="12.75">
      <c r="A5" s="1">
        <v>38035</v>
      </c>
      <c r="B5" t="s">
        <v>171</v>
      </c>
      <c r="C5">
        <v>47</v>
      </c>
      <c r="D5">
        <v>42</v>
      </c>
      <c r="E5">
        <f>AVERAGE(C1:C5)</f>
        <v>47</v>
      </c>
      <c r="F5">
        <f>AVERAGE(D1:D5)</f>
        <v>42</v>
      </c>
      <c r="G5">
        <f>F5-E5</f>
        <v>-5</v>
      </c>
      <c r="H5" s="1">
        <v>38034</v>
      </c>
    </row>
    <row r="6" spans="1:8" ht="12.75">
      <c r="A6" s="1">
        <v>38044</v>
      </c>
      <c r="B6" t="s">
        <v>281</v>
      </c>
      <c r="C6">
        <v>46</v>
      </c>
      <c r="D6">
        <v>36</v>
      </c>
      <c r="E6">
        <f>AVERAGE(C2:C6)</f>
        <v>46.5</v>
      </c>
      <c r="F6">
        <f>AVERAGE(D2:D6)</f>
        <v>39</v>
      </c>
      <c r="G6">
        <f>F6-E6</f>
        <v>-7.5</v>
      </c>
      <c r="H6" s="1">
        <v>38038</v>
      </c>
    </row>
    <row r="7" spans="1:8" ht="12.75">
      <c r="A7" s="1">
        <v>38053</v>
      </c>
      <c r="B7" t="s">
        <v>126</v>
      </c>
      <c r="C7">
        <v>47</v>
      </c>
      <c r="D7">
        <v>45</v>
      </c>
      <c r="E7">
        <f>AVERAGE(C3:C7)</f>
        <v>46.666666666666664</v>
      </c>
      <c r="F7">
        <f>AVERAGE(D3:D7)</f>
        <v>41</v>
      </c>
      <c r="G7">
        <f>F7-E7</f>
        <v>-5.666666666666664</v>
      </c>
      <c r="H7" s="1">
        <v>38044</v>
      </c>
    </row>
    <row r="8" spans="1:8" ht="12.75">
      <c r="A8" s="1">
        <v>38070</v>
      </c>
      <c r="B8" t="s">
        <v>169</v>
      </c>
      <c r="C8">
        <v>51</v>
      </c>
      <c r="D8">
        <v>42</v>
      </c>
      <c r="E8">
        <f>AVERAGE(C4:C8)</f>
        <v>47.75</v>
      </c>
      <c r="F8">
        <f>AVERAGE(D4:D8)</f>
        <v>41.25</v>
      </c>
      <c r="G8">
        <f>F8-E8</f>
        <v>-6.5</v>
      </c>
      <c r="H8" s="1">
        <v>38065</v>
      </c>
    </row>
    <row r="9" spans="1:8" ht="12.75">
      <c r="A9" s="1">
        <v>38092</v>
      </c>
      <c r="B9" t="s">
        <v>169</v>
      </c>
      <c r="C9">
        <v>47</v>
      </c>
      <c r="D9">
        <v>47</v>
      </c>
      <c r="E9">
        <f>AVERAGE(C5:C9)</f>
        <v>47.6</v>
      </c>
      <c r="F9">
        <f>AVERAGE(D5:D9)</f>
        <v>42.4</v>
      </c>
      <c r="G9">
        <f>F9-E9</f>
        <v>-5.200000000000003</v>
      </c>
      <c r="H9" s="1">
        <v>38086</v>
      </c>
    </row>
    <row r="10" spans="1:8" ht="12.75">
      <c r="A10" s="1">
        <v>38092</v>
      </c>
      <c r="B10" t="s">
        <v>281</v>
      </c>
      <c r="C10">
        <v>48</v>
      </c>
      <c r="D10">
        <v>39</v>
      </c>
      <c r="E10">
        <f>AVERAGE(C6:C10)</f>
        <v>47.8</v>
      </c>
      <c r="F10">
        <f>AVERAGE(D6:D10)</f>
        <v>41.8</v>
      </c>
      <c r="G10">
        <f>F10-E10</f>
        <v>-6</v>
      </c>
      <c r="H10" s="1">
        <v>38086</v>
      </c>
    </row>
    <row r="11" spans="1:8" ht="12.75">
      <c r="A11" s="1">
        <v>38109</v>
      </c>
      <c r="B11" t="s">
        <v>208</v>
      </c>
      <c r="C11">
        <v>50</v>
      </c>
      <c r="D11">
        <v>41</v>
      </c>
      <c r="E11">
        <f>AVERAGE(C7:C11)</f>
        <v>48.6</v>
      </c>
      <c r="F11">
        <f>AVERAGE(D7:D11)</f>
        <v>42.8</v>
      </c>
      <c r="G11">
        <f>F11-E11</f>
        <v>-5.800000000000004</v>
      </c>
      <c r="H11" s="1">
        <v>38106</v>
      </c>
    </row>
    <row r="12" spans="1:8" ht="12.75">
      <c r="A12" s="1">
        <v>38119</v>
      </c>
      <c r="B12" t="s">
        <v>169</v>
      </c>
      <c r="C12">
        <v>48</v>
      </c>
      <c r="D12">
        <v>45</v>
      </c>
      <c r="E12">
        <f>AVERAGE(C8:C12)</f>
        <v>48.8</v>
      </c>
      <c r="F12">
        <f>AVERAGE(D8:D12)</f>
        <v>42.8</v>
      </c>
      <c r="G12">
        <f>F12-E12</f>
        <v>-6</v>
      </c>
      <c r="H12" s="1">
        <v>38114</v>
      </c>
    </row>
    <row r="13" spans="1:8" ht="12.75">
      <c r="A13" s="1">
        <v>38119</v>
      </c>
      <c r="B13" t="s">
        <v>93</v>
      </c>
      <c r="C13">
        <v>49</v>
      </c>
      <c r="D13">
        <v>42</v>
      </c>
      <c r="E13">
        <f>AVERAGE(C9:C13)</f>
        <v>48.4</v>
      </c>
      <c r="F13">
        <f>AVERAGE(D9:D13)</f>
        <v>42.8</v>
      </c>
      <c r="G13">
        <f>F13-E13</f>
        <v>-5.600000000000001</v>
      </c>
      <c r="H13" s="1">
        <v>38115</v>
      </c>
    </row>
    <row r="14" spans="1:8" ht="12.75">
      <c r="A14" s="1">
        <v>38130</v>
      </c>
      <c r="B14" t="s">
        <v>281</v>
      </c>
      <c r="C14">
        <v>44</v>
      </c>
      <c r="D14">
        <v>39</v>
      </c>
      <c r="E14">
        <f>AVERAGE(C10:C14)</f>
        <v>47.8</v>
      </c>
      <c r="F14">
        <f>AVERAGE(D10:D14)</f>
        <v>41.2</v>
      </c>
      <c r="G14">
        <f>F14-E14</f>
        <v>-6.599999999999994</v>
      </c>
      <c r="H14" s="1">
        <v>38123</v>
      </c>
    </row>
    <row r="15" spans="1:8" ht="12.75">
      <c r="A15" s="1">
        <v>38127</v>
      </c>
      <c r="B15" t="s">
        <v>126</v>
      </c>
      <c r="C15">
        <v>51</v>
      </c>
      <c r="D15">
        <v>43</v>
      </c>
      <c r="E15">
        <f>AVERAGE(C11:C15)</f>
        <v>48.4</v>
      </c>
      <c r="F15">
        <f>AVERAGE(D11:D15)</f>
        <v>42</v>
      </c>
      <c r="G15">
        <f>F15-E15</f>
        <v>-6.399999999999999</v>
      </c>
      <c r="H15" s="1">
        <v>38125</v>
      </c>
    </row>
    <row r="16" spans="1:8" ht="12.75">
      <c r="A16" s="1">
        <v>38139</v>
      </c>
      <c r="B16" t="s">
        <v>93</v>
      </c>
      <c r="C16">
        <v>43</v>
      </c>
      <c r="D16">
        <v>40</v>
      </c>
      <c r="E16">
        <f>AVERAGE(C12:C16)</f>
        <v>47</v>
      </c>
      <c r="F16">
        <f>AVERAGE(D12:D16)</f>
        <v>41.8</v>
      </c>
      <c r="G16">
        <f>F16-E16</f>
        <v>-5.200000000000003</v>
      </c>
      <c r="H16" s="1">
        <v>38139</v>
      </c>
    </row>
    <row r="17" spans="1:8" ht="12.75">
      <c r="A17" s="1">
        <v>38150</v>
      </c>
      <c r="B17" t="s">
        <v>169</v>
      </c>
      <c r="C17">
        <v>45</v>
      </c>
      <c r="D17">
        <v>43</v>
      </c>
      <c r="E17">
        <f>AVERAGE(C13:C17)</f>
        <v>46.4</v>
      </c>
      <c r="F17">
        <f>AVERAGE(D13:D17)</f>
        <v>41.4</v>
      </c>
      <c r="G17">
        <f>F17-E17</f>
        <v>-5</v>
      </c>
      <c r="H17" s="1">
        <v>38149</v>
      </c>
    </row>
    <row r="18" spans="1:8" ht="12.75">
      <c r="A18" s="1">
        <v>38156</v>
      </c>
      <c r="B18" t="s">
        <v>281</v>
      </c>
      <c r="C18">
        <v>45</v>
      </c>
      <c r="D18">
        <v>41</v>
      </c>
      <c r="E18">
        <f>AVERAGE(C14:C18)</f>
        <v>45.6</v>
      </c>
      <c r="F18">
        <f>AVERAGE(D14:D18)</f>
        <v>41.2</v>
      </c>
      <c r="G18">
        <f>F18-E18</f>
        <v>-4.399999999999999</v>
      </c>
      <c r="H18" s="1">
        <v>38154</v>
      </c>
    </row>
    <row r="19" spans="1:8" ht="12.75">
      <c r="A19" s="1">
        <v>38168</v>
      </c>
      <c r="B19" t="s">
        <v>93</v>
      </c>
      <c r="C19">
        <v>45</v>
      </c>
      <c r="D19">
        <v>41</v>
      </c>
      <c r="E19">
        <f>AVERAGE(C15:C19)</f>
        <v>45.8</v>
      </c>
      <c r="F19">
        <f>AVERAGE(D15:D19)</f>
        <v>41.6</v>
      </c>
      <c r="G19">
        <f>F19-E19</f>
        <v>-4.199999999999996</v>
      </c>
      <c r="H19" s="1">
        <v>38167</v>
      </c>
    </row>
    <row r="20" spans="1:8" ht="12.75">
      <c r="A20" s="1">
        <v>38176</v>
      </c>
      <c r="B20" t="s">
        <v>239</v>
      </c>
      <c r="C20">
        <v>38</v>
      </c>
      <c r="D20">
        <v>47</v>
      </c>
      <c r="E20">
        <f>AVERAGE(C16:C20)</f>
        <v>43.2</v>
      </c>
      <c r="F20">
        <f>AVERAGE(D16:D20)</f>
        <v>42.4</v>
      </c>
      <c r="G20">
        <f>F20-E20</f>
        <v>-0.8000000000000043</v>
      </c>
      <c r="H20" s="1">
        <v>38167</v>
      </c>
    </row>
    <row r="21" spans="1:8" ht="12.75">
      <c r="A21" s="1">
        <v>38183</v>
      </c>
      <c r="B21" t="s">
        <v>126</v>
      </c>
      <c r="C21">
        <v>50</v>
      </c>
      <c r="D21">
        <v>45</v>
      </c>
      <c r="E21">
        <f>AVERAGE(C17:C21)</f>
        <v>44.6</v>
      </c>
      <c r="F21">
        <f>AVERAGE(D17:D21)</f>
        <v>43.4</v>
      </c>
      <c r="G21">
        <f>F21-E21</f>
        <v>-1.2000000000000028</v>
      </c>
      <c r="H21" s="1">
        <v>38181</v>
      </c>
    </row>
    <row r="22" spans="1:8" ht="12.75">
      <c r="A22" s="1">
        <v>38185</v>
      </c>
      <c r="B22" t="s">
        <v>169</v>
      </c>
      <c r="C22">
        <v>48</v>
      </c>
      <c r="D22">
        <v>45</v>
      </c>
      <c r="E22">
        <f>AVERAGE(C18:C22)</f>
        <v>45.2</v>
      </c>
      <c r="F22">
        <f>AVERAGE(D18:D22)</f>
        <v>43.8</v>
      </c>
      <c r="G22">
        <f>F22-E22</f>
        <v>-1.4000000000000057</v>
      </c>
      <c r="H22" s="1">
        <v>38182</v>
      </c>
    </row>
    <row r="23" spans="1:8" ht="12.75">
      <c r="A23" s="1">
        <v>38190</v>
      </c>
      <c r="B23" t="s">
        <v>281</v>
      </c>
      <c r="C23">
        <v>43</v>
      </c>
      <c r="D23">
        <v>40</v>
      </c>
      <c r="E23">
        <f>AVERAGE(C19:C23)</f>
        <v>44.8</v>
      </c>
      <c r="F23">
        <f>AVERAGE(D19:D23)</f>
        <v>43.6</v>
      </c>
      <c r="G23">
        <f>F23-E23</f>
        <v>-1.1999999999999957</v>
      </c>
      <c r="H23" s="1">
        <v>38183</v>
      </c>
    </row>
    <row r="24" spans="1:8" ht="12.75">
      <c r="A24" s="1">
        <v>38196</v>
      </c>
      <c r="B24" t="s">
        <v>93</v>
      </c>
      <c r="C24">
        <v>47</v>
      </c>
      <c r="D24">
        <v>44</v>
      </c>
      <c r="E24">
        <f>AVERAGE(C20:C24)</f>
        <v>45.2</v>
      </c>
      <c r="F24">
        <f>AVERAGE(D20:D24)</f>
        <v>44.2</v>
      </c>
      <c r="G24">
        <f>F24-E24</f>
        <v>-1</v>
      </c>
      <c r="H24" s="1">
        <v>38194</v>
      </c>
    </row>
    <row r="25" spans="1:8" ht="12.75">
      <c r="A25" s="1">
        <v>38200</v>
      </c>
      <c r="B25" t="s">
        <v>208</v>
      </c>
      <c r="C25">
        <v>47</v>
      </c>
      <c r="D25">
        <v>43</v>
      </c>
      <c r="E25">
        <f>AVERAGE(C21:C25)</f>
        <v>47</v>
      </c>
      <c r="F25">
        <f>AVERAGE(D21:D25)</f>
        <v>43.4</v>
      </c>
      <c r="G25">
        <f>F25-E25</f>
        <v>-3.6000000000000014</v>
      </c>
      <c r="H25" s="1">
        <v>38197</v>
      </c>
    </row>
    <row r="26" spans="1:8" ht="12.75">
      <c r="A26" s="1">
        <v>38211</v>
      </c>
      <c r="B26" t="s">
        <v>126</v>
      </c>
      <c r="C26">
        <v>49</v>
      </c>
      <c r="D26">
        <v>45</v>
      </c>
      <c r="E26">
        <f>AVERAGE(C22:C26)</f>
        <v>46.8</v>
      </c>
      <c r="F26">
        <f>AVERAGE(D22:D26)</f>
        <v>43.4</v>
      </c>
      <c r="G26">
        <f>F26-E26</f>
        <v>-3.3999999999999986</v>
      </c>
      <c r="H26" s="1">
        <v>38209</v>
      </c>
    </row>
    <row r="27" spans="1:8" ht="12.75">
      <c r="A27" s="1">
        <v>38213</v>
      </c>
      <c r="B27" t="s">
        <v>169</v>
      </c>
      <c r="C27">
        <v>50</v>
      </c>
      <c r="D27">
        <v>44</v>
      </c>
      <c r="E27">
        <f>AVERAGE(C23:C27)</f>
        <v>47.2</v>
      </c>
      <c r="F27">
        <f>AVERAGE(D23:D27)</f>
        <v>43.2</v>
      </c>
      <c r="G27">
        <f>F27-E27</f>
        <v>-4</v>
      </c>
      <c r="H27" s="1">
        <v>38211</v>
      </c>
    </row>
    <row r="28" spans="1:8" ht="12.75">
      <c r="A28" s="1">
        <v>38218</v>
      </c>
      <c r="B28" t="s">
        <v>281</v>
      </c>
      <c r="C28">
        <v>46</v>
      </c>
      <c r="D28">
        <v>40</v>
      </c>
      <c r="E28">
        <f>AVERAGE(C24:C28)</f>
        <v>47.8</v>
      </c>
      <c r="F28">
        <f>AVERAGE(D24:D28)</f>
        <v>43.2</v>
      </c>
      <c r="G28">
        <f>F28-E28</f>
        <v>-4.599999999999994</v>
      </c>
      <c r="H28" s="1">
        <v>38215</v>
      </c>
    </row>
    <row r="29" spans="1:8" ht="12.75">
      <c r="A29" s="1">
        <v>38219</v>
      </c>
      <c r="B29" t="s">
        <v>152</v>
      </c>
      <c r="C29">
        <v>45</v>
      </c>
      <c r="D29">
        <v>43</v>
      </c>
      <c r="E29">
        <f>AVERAGE(C25:C29)</f>
        <v>47.4</v>
      </c>
      <c r="F29">
        <f>AVERAGE(D25:D29)</f>
        <v>43</v>
      </c>
      <c r="G29">
        <f>F29-E29</f>
        <v>-4.399999999999999</v>
      </c>
      <c r="H29" s="1">
        <v>38217</v>
      </c>
    </row>
    <row r="30" spans="1:8" ht="12.75">
      <c r="A30" s="1">
        <v>38221</v>
      </c>
      <c r="B30" t="s">
        <v>41</v>
      </c>
      <c r="C30">
        <v>39</v>
      </c>
      <c r="D30">
        <v>47</v>
      </c>
      <c r="E30">
        <f>AVERAGE(C26:C30)</f>
        <v>45.8</v>
      </c>
      <c r="F30">
        <f>AVERAGE(D26:D30)</f>
        <v>43.8</v>
      </c>
      <c r="G30">
        <f>F30-E30</f>
        <v>-2</v>
      </c>
      <c r="H30" s="1">
        <v>38217</v>
      </c>
    </row>
    <row r="31" spans="1:8" ht="12.75">
      <c r="A31" s="1">
        <v>38224</v>
      </c>
      <c r="B31" t="s">
        <v>93</v>
      </c>
      <c r="C31">
        <v>45</v>
      </c>
      <c r="D31">
        <v>42</v>
      </c>
      <c r="E31">
        <f>AVERAGE(C27:C31)</f>
        <v>45</v>
      </c>
      <c r="F31">
        <f>AVERAGE(D27:D31)</f>
        <v>43.2</v>
      </c>
      <c r="G31">
        <f>F31-E31</f>
        <v>-1.7999999999999972</v>
      </c>
      <c r="H31" s="1">
        <v>38221</v>
      </c>
    </row>
    <row r="32" spans="1:8" ht="12.75">
      <c r="A32" s="1">
        <v>38233</v>
      </c>
      <c r="B32" t="s">
        <v>67</v>
      </c>
      <c r="C32">
        <v>47</v>
      </c>
      <c r="D32">
        <v>44</v>
      </c>
      <c r="E32">
        <f>AVERAGE(C28:C32)</f>
        <v>44.4</v>
      </c>
      <c r="F32">
        <f>AVERAGE(D28:D32)</f>
        <v>43.2</v>
      </c>
      <c r="G32">
        <f>F32-E32</f>
        <v>-1.1999999999999957</v>
      </c>
      <c r="H32" s="1">
        <v>38224</v>
      </c>
    </row>
    <row r="33" spans="1:8" ht="12.75">
      <c r="A33" s="1">
        <v>38241</v>
      </c>
      <c r="B33" t="s">
        <v>288</v>
      </c>
      <c r="C33">
        <v>49</v>
      </c>
      <c r="D33">
        <v>46</v>
      </c>
      <c r="E33">
        <f>AVERAGE(C29:C33)</f>
        <v>45</v>
      </c>
      <c r="F33">
        <f>AVERAGE(D29:D33)</f>
        <v>44.4</v>
      </c>
      <c r="G33">
        <f>F33-E33</f>
        <v>-0.6000000000000014</v>
      </c>
      <c r="H33" s="1">
        <v>38236</v>
      </c>
    </row>
    <row r="34" spans="1:8" ht="12.75">
      <c r="A34" s="1">
        <v>38239</v>
      </c>
      <c r="B34" t="s">
        <v>126</v>
      </c>
      <c r="C34">
        <v>58</v>
      </c>
      <c r="D34">
        <v>38</v>
      </c>
      <c r="E34">
        <f>AVERAGE(C30:C34)</f>
        <v>47.6</v>
      </c>
      <c r="F34">
        <f>AVERAGE(D30:D34)</f>
        <v>43.4</v>
      </c>
      <c r="G34">
        <f>F34-E34</f>
        <v>-4.200000000000003</v>
      </c>
      <c r="H34" s="1">
        <v>38237</v>
      </c>
    </row>
    <row r="35" spans="1:8" ht="12.75">
      <c r="A35" s="1">
        <v>38239</v>
      </c>
      <c r="B35" t="s">
        <v>93</v>
      </c>
      <c r="C35">
        <v>48</v>
      </c>
      <c r="D35">
        <v>44</v>
      </c>
      <c r="E35">
        <f>AVERAGE(C31:C35)</f>
        <v>49.4</v>
      </c>
      <c r="F35">
        <f>AVERAGE(D31:D35)</f>
        <v>42.8</v>
      </c>
      <c r="G35">
        <f>F35-E35</f>
        <v>-6.600000000000001</v>
      </c>
      <c r="H35" s="1">
        <v>38238</v>
      </c>
    </row>
    <row r="36" spans="1:8" ht="12.75">
      <c r="A36" s="1">
        <v>38241</v>
      </c>
      <c r="B36" t="s">
        <v>281</v>
      </c>
      <c r="C36">
        <v>47</v>
      </c>
      <c r="D36">
        <v>44</v>
      </c>
      <c r="E36">
        <f>AVERAGE(C32:C36)</f>
        <v>49.8</v>
      </c>
      <c r="F36">
        <f>AVERAGE(D32:D36)</f>
        <v>43.2</v>
      </c>
      <c r="G36">
        <f>F36-E36</f>
        <v>-6.599999999999994</v>
      </c>
      <c r="H36" s="1">
        <v>38239</v>
      </c>
    </row>
    <row r="37" spans="1:8" ht="12.75">
      <c r="A37" s="1">
        <v>38241</v>
      </c>
      <c r="B37" t="s">
        <v>81</v>
      </c>
      <c r="C37">
        <v>55</v>
      </c>
      <c r="D37">
        <v>38</v>
      </c>
      <c r="E37">
        <f>AVERAGE(C33:C37)</f>
        <v>51.4</v>
      </c>
      <c r="F37">
        <f>AVERAGE(D33:D37)</f>
        <v>42</v>
      </c>
      <c r="G37">
        <f>F37-E37</f>
        <v>-9.399999999999999</v>
      </c>
      <c r="H37" s="1">
        <v>38239</v>
      </c>
    </row>
    <row r="38" spans="1:8" ht="12.75">
      <c r="A38" s="1">
        <v>38243</v>
      </c>
      <c r="B38" t="s">
        <v>41</v>
      </c>
      <c r="C38">
        <v>46.6</v>
      </c>
      <c r="D38">
        <v>48.1</v>
      </c>
      <c r="E38">
        <f>AVERAGE(C34:C38)</f>
        <v>50.92</v>
      </c>
      <c r="F38">
        <f>AVERAGE(D34:D38)</f>
        <v>42.42</v>
      </c>
      <c r="G38">
        <f>F38-E38</f>
        <v>-8.5</v>
      </c>
      <c r="H38" s="1">
        <v>38241</v>
      </c>
    </row>
    <row r="39" spans="1:8" ht="12.75">
      <c r="A39" s="1">
        <v>38247</v>
      </c>
      <c r="B39" t="s">
        <v>59</v>
      </c>
      <c r="C39">
        <v>52</v>
      </c>
      <c r="D39">
        <v>41</v>
      </c>
      <c r="E39">
        <f>AVERAGE(C35:C39)</f>
        <v>49.72</v>
      </c>
      <c r="F39">
        <f>AVERAGE(D35:D39)</f>
        <v>43.019999999999996</v>
      </c>
      <c r="G39">
        <f>F39-E39</f>
        <v>-6.700000000000003</v>
      </c>
      <c r="H39" s="1">
        <v>38242</v>
      </c>
    </row>
    <row r="40" spans="1:8" ht="12.75">
      <c r="A40" s="1">
        <v>38247</v>
      </c>
      <c r="B40" t="s">
        <v>109</v>
      </c>
      <c r="C40">
        <v>46</v>
      </c>
      <c r="D40">
        <v>45</v>
      </c>
      <c r="E40">
        <f>AVERAGE(C36:C40)</f>
        <v>49.32</v>
      </c>
      <c r="F40">
        <f>AVERAGE(D36:D40)</f>
        <v>43.22</v>
      </c>
      <c r="G40">
        <f>F40-E40</f>
        <v>-6.100000000000001</v>
      </c>
      <c r="H40" s="1">
        <v>38245</v>
      </c>
    </row>
    <row r="41" spans="1:8" ht="12.75">
      <c r="A41" s="1">
        <v>38249</v>
      </c>
      <c r="B41" t="s">
        <v>192</v>
      </c>
      <c r="C41">
        <v>41</v>
      </c>
      <c r="D41">
        <v>35</v>
      </c>
      <c r="E41">
        <f>AVERAGE(C37:C41)</f>
        <v>48.12</v>
      </c>
      <c r="F41">
        <f>AVERAGE(D37:D41)</f>
        <v>41.42</v>
      </c>
      <c r="G41">
        <f>F41-E41</f>
        <v>-6.699999999999996</v>
      </c>
      <c r="H41" s="1">
        <v>38245</v>
      </c>
    </row>
    <row r="42" spans="1:8" ht="12.75">
      <c r="A42" s="1">
        <v>38252</v>
      </c>
      <c r="B42" t="s">
        <v>169</v>
      </c>
      <c r="C42">
        <v>50</v>
      </c>
      <c r="D42">
        <v>47</v>
      </c>
      <c r="E42">
        <f>AVERAGE(C38:C42)</f>
        <v>47.12</v>
      </c>
      <c r="F42">
        <f>AVERAGE(D38:D42)</f>
        <v>43.22</v>
      </c>
      <c r="G42">
        <f>F42-E42</f>
        <v>-3.8999999999999986</v>
      </c>
      <c r="H42" s="1">
        <v>38247</v>
      </c>
    </row>
    <row r="43" spans="1:8" ht="12.75">
      <c r="A43" s="1">
        <v>38250</v>
      </c>
      <c r="B43" t="s">
        <v>93</v>
      </c>
      <c r="C43">
        <v>46</v>
      </c>
      <c r="D43">
        <v>46</v>
      </c>
      <c r="E43">
        <f>AVERAGE(C39:C43)</f>
        <v>47</v>
      </c>
      <c r="F43">
        <f>AVERAGE(D39:D43)</f>
        <v>42.8</v>
      </c>
      <c r="G43">
        <f>F43-E43</f>
        <v>-4.200000000000003</v>
      </c>
      <c r="H43" s="1">
        <v>38248</v>
      </c>
    </row>
    <row r="44" spans="1:8" ht="12.75">
      <c r="A44" s="1">
        <v>38253</v>
      </c>
      <c r="B44" t="s">
        <v>281</v>
      </c>
      <c r="C44">
        <v>45</v>
      </c>
      <c r="D44">
        <v>45</v>
      </c>
      <c r="E44">
        <f>AVERAGE(C40:C44)</f>
        <v>45.6</v>
      </c>
      <c r="F44">
        <f>AVERAGE(D40:D44)</f>
        <v>43.6</v>
      </c>
      <c r="G44">
        <f>F44-E44</f>
        <v>-2</v>
      </c>
      <c r="H44" s="1">
        <v>38249</v>
      </c>
    </row>
    <row r="45" spans="1:8" ht="12.75">
      <c r="A45" s="1">
        <v>38255</v>
      </c>
      <c r="B45" t="s">
        <v>169</v>
      </c>
      <c r="C45">
        <v>47</v>
      </c>
      <c r="D45">
        <v>49</v>
      </c>
      <c r="E45">
        <f>AVERAGE(C41:C45)</f>
        <v>45.8</v>
      </c>
      <c r="F45">
        <f>AVERAGE(D41:D45)</f>
        <v>44.4</v>
      </c>
      <c r="G45">
        <f>F45-E45</f>
        <v>-1.3999999999999986</v>
      </c>
      <c r="H45" s="1">
        <v>38252</v>
      </c>
    </row>
    <row r="46" spans="1:8" ht="12.75">
      <c r="A46" s="1">
        <v>38259</v>
      </c>
      <c r="B46" t="s">
        <v>93</v>
      </c>
      <c r="C46">
        <v>45</v>
      </c>
      <c r="D46">
        <v>47</v>
      </c>
      <c r="E46">
        <f>AVERAGE(C42:C46)</f>
        <v>46.6</v>
      </c>
      <c r="F46">
        <f>AVERAGE(D42:D46)</f>
        <v>46.8</v>
      </c>
      <c r="G46">
        <f>F46-E46</f>
        <v>0.19999999999999574</v>
      </c>
      <c r="H46" s="1">
        <v>38258</v>
      </c>
    </row>
    <row r="47" spans="1:8" ht="12.75">
      <c r="A47" s="1">
        <v>38260</v>
      </c>
      <c r="B47" t="s">
        <v>59</v>
      </c>
      <c r="C47">
        <v>49</v>
      </c>
      <c r="D47">
        <v>46</v>
      </c>
      <c r="E47">
        <f>AVERAGE(C43:C47)</f>
        <v>46.4</v>
      </c>
      <c r="F47">
        <f>AVERAGE(D43:D47)</f>
        <v>46.6</v>
      </c>
      <c r="G47">
        <f>F47-E47</f>
        <v>0.20000000000000284</v>
      </c>
      <c r="H47" s="1">
        <v>38258</v>
      </c>
    </row>
    <row r="48" spans="1:8" ht="12.75">
      <c r="A48" s="1">
        <v>38262</v>
      </c>
      <c r="B48" t="s">
        <v>169</v>
      </c>
      <c r="C48">
        <v>47</v>
      </c>
      <c r="D48">
        <v>50</v>
      </c>
      <c r="E48">
        <f>AVERAGE(C44:C48)</f>
        <v>46.6</v>
      </c>
      <c r="F48">
        <f>AVERAGE(D44:D48)</f>
        <v>47.4</v>
      </c>
      <c r="G48">
        <f>F48-E48</f>
        <v>0.7999999999999972</v>
      </c>
      <c r="H48" s="1">
        <v>38260</v>
      </c>
    </row>
    <row r="49" spans="1:8" ht="12.75">
      <c r="A49" s="1">
        <v>38266</v>
      </c>
      <c r="B49" t="s">
        <v>93</v>
      </c>
      <c r="C49">
        <v>44</v>
      </c>
      <c r="D49">
        <v>50</v>
      </c>
      <c r="E49">
        <f>AVERAGE(C45:C49)</f>
        <v>46.4</v>
      </c>
      <c r="F49">
        <f>AVERAGE(D45:D49)</f>
        <v>48.4</v>
      </c>
      <c r="G49">
        <f>F49-E49</f>
        <v>2</v>
      </c>
      <c r="H49" s="1">
        <v>38264</v>
      </c>
    </row>
    <row r="50" spans="1:8" ht="12.75">
      <c r="A50" s="1">
        <v>38266</v>
      </c>
      <c r="B50" t="s">
        <v>109</v>
      </c>
      <c r="C50">
        <v>48</v>
      </c>
      <c r="D50">
        <v>49</v>
      </c>
      <c r="E50">
        <f>AVERAGE(C46:C50)</f>
        <v>46.6</v>
      </c>
      <c r="F50">
        <f>AVERAGE(D46:D50)</f>
        <v>48.4</v>
      </c>
      <c r="G50">
        <f>F50-E50</f>
        <v>1.7999999999999972</v>
      </c>
      <c r="H50" s="1">
        <v>38265</v>
      </c>
    </row>
    <row r="51" spans="1:8" ht="12.75">
      <c r="A51" s="1">
        <v>38267</v>
      </c>
      <c r="B51" t="s">
        <v>126</v>
      </c>
      <c r="C51">
        <v>49</v>
      </c>
      <c r="D51">
        <v>46</v>
      </c>
      <c r="E51">
        <f>AVERAGE(C47:C51)</f>
        <v>47.4</v>
      </c>
      <c r="F51">
        <f>AVERAGE(D47:D51)</f>
        <v>48.2</v>
      </c>
      <c r="G51">
        <f>F51-E51</f>
        <v>0.8000000000000043</v>
      </c>
      <c r="H51" s="1">
        <v>38265</v>
      </c>
    </row>
    <row r="52" spans="1:8" ht="12.75">
      <c r="A52" s="1">
        <v>38270</v>
      </c>
      <c r="B52" t="s">
        <v>37</v>
      </c>
      <c r="C52">
        <v>48</v>
      </c>
      <c r="D52">
        <v>46</v>
      </c>
      <c r="E52">
        <f>AVERAGE(C48:C52)</f>
        <v>47.2</v>
      </c>
      <c r="F52">
        <f>AVERAGE(D48:D52)</f>
        <v>48.2</v>
      </c>
      <c r="G52">
        <f>F52-E52</f>
        <v>1</v>
      </c>
      <c r="H52" s="1">
        <v>38266</v>
      </c>
    </row>
    <row r="53" spans="1:8" ht="12.75">
      <c r="A53" s="1">
        <v>38269</v>
      </c>
      <c r="B53" t="s">
        <v>169</v>
      </c>
      <c r="C53">
        <v>48</v>
      </c>
      <c r="D53">
        <v>49</v>
      </c>
      <c r="E53">
        <f>AVERAGE(C49:C53)</f>
        <v>47.4</v>
      </c>
      <c r="F53">
        <f>AVERAGE(D49:D53)</f>
        <v>48</v>
      </c>
      <c r="G53">
        <f>F53-E53</f>
        <v>0.6000000000000014</v>
      </c>
      <c r="H53" s="1">
        <v>38267</v>
      </c>
    </row>
    <row r="54" spans="1:8" ht="12.75">
      <c r="A54" s="1">
        <v>38269</v>
      </c>
      <c r="B54" t="s">
        <v>281</v>
      </c>
      <c r="C54">
        <v>43</v>
      </c>
      <c r="D54">
        <v>48</v>
      </c>
      <c r="E54">
        <f>AVERAGE(C50:C54)</f>
        <v>47.2</v>
      </c>
      <c r="F54">
        <f>AVERAGE(D50:D54)</f>
        <v>47.6</v>
      </c>
      <c r="G54">
        <f>F54-E54</f>
        <v>0.3999999999999986</v>
      </c>
      <c r="H54" s="1">
        <v>38267</v>
      </c>
    </row>
    <row r="55" spans="1:8" ht="12.75">
      <c r="A55" s="1">
        <v>38273</v>
      </c>
      <c r="B55" t="s">
        <v>214</v>
      </c>
      <c r="C55">
        <v>48</v>
      </c>
      <c r="D55">
        <v>48</v>
      </c>
      <c r="E55">
        <f>AVERAGE(C51:C55)</f>
        <v>47.2</v>
      </c>
      <c r="F55">
        <f>AVERAGE(D51:D55)</f>
        <v>47.4</v>
      </c>
      <c r="G55">
        <f>F55-E55</f>
        <v>0.19999999999999574</v>
      </c>
      <c r="H55" s="1">
        <v>38271</v>
      </c>
    </row>
    <row r="56" spans="1:8" ht="12.75">
      <c r="A56" s="1">
        <v>38274</v>
      </c>
      <c r="B56" t="s">
        <v>93</v>
      </c>
      <c r="C56">
        <v>46</v>
      </c>
      <c r="D56">
        <v>49</v>
      </c>
      <c r="E56">
        <f>AVERAGE(C52:C56)</f>
        <v>46.6</v>
      </c>
      <c r="F56">
        <f>AVERAGE(D52:D56)</f>
        <v>48</v>
      </c>
      <c r="G56">
        <f>F56-E56</f>
        <v>1.3999999999999986</v>
      </c>
      <c r="H56" s="1">
        <v>38271</v>
      </c>
    </row>
    <row r="57" spans="1:8" ht="12.75">
      <c r="A57" s="1">
        <v>38275</v>
      </c>
      <c r="B57" t="s">
        <v>152</v>
      </c>
      <c r="C57">
        <v>46</v>
      </c>
      <c r="D57">
        <v>48</v>
      </c>
      <c r="E57">
        <f>AVERAGE(C53:C57)</f>
        <v>46.2</v>
      </c>
      <c r="F57">
        <f>AVERAGE(D53:D57)</f>
        <v>48.4</v>
      </c>
      <c r="G57">
        <f>F57-E57</f>
        <v>2.1999999999999957</v>
      </c>
      <c r="H57" s="1">
        <v>38272</v>
      </c>
    </row>
    <row r="58" spans="1:8" ht="12.75">
      <c r="A58" s="1">
        <v>38276</v>
      </c>
      <c r="B58" t="s">
        <v>41</v>
      </c>
      <c r="C58">
        <v>46.1</v>
      </c>
      <c r="D58">
        <v>49.5</v>
      </c>
      <c r="E58">
        <f>AVERAGE(C54:C58)</f>
        <v>45.82</v>
      </c>
      <c r="F58">
        <f>AVERAGE(D54:D58)</f>
        <v>48.5</v>
      </c>
      <c r="G58">
        <f>F58-E58</f>
        <v>2.6799999999999997</v>
      </c>
      <c r="H58" s="1">
        <v>38272</v>
      </c>
    </row>
    <row r="59" spans="1:11" ht="12.75">
      <c r="A59" s="1">
        <v>38277</v>
      </c>
      <c r="B59" t="s">
        <v>81</v>
      </c>
      <c r="C59">
        <v>44</v>
      </c>
      <c r="D59">
        <v>46</v>
      </c>
      <c r="E59">
        <f>AVERAGE(C55:C59)</f>
        <v>46.019999999999996</v>
      </c>
      <c r="F59">
        <f>AVERAGE(D55:D59)</f>
        <v>48.1</v>
      </c>
      <c r="G59">
        <f>F59-E59</f>
        <v>2.0800000000000054</v>
      </c>
      <c r="H59" s="1">
        <v>38274</v>
      </c>
      <c r="I59">
        <f>AVERAGE(C53:C59)</f>
        <v>45.871428571428574</v>
      </c>
      <c r="J59">
        <f>AVERAGE(D53:D59)</f>
        <v>48.214285714285715</v>
      </c>
      <c r="K59">
        <f>J59-I59</f>
        <v>2.3428571428571416</v>
      </c>
    </row>
    <row r="60" spans="1:8" ht="12.75">
      <c r="A60" s="1">
        <v>38280</v>
      </c>
      <c r="B60" t="s">
        <v>93</v>
      </c>
      <c r="C60">
        <v>44</v>
      </c>
      <c r="D60">
        <v>51</v>
      </c>
      <c r="E60">
        <f>AVERAGE(C56:C60)</f>
        <v>45.22</v>
      </c>
      <c r="F60">
        <f>AVERAGE(D56:D60)</f>
        <v>48.7</v>
      </c>
      <c r="G60">
        <f>F60-E60</f>
        <v>3.480000000000004</v>
      </c>
      <c r="H60" s="1">
        <v>38278</v>
      </c>
    </row>
    <row r="61" spans="1:8" ht="12.75">
      <c r="A61" s="1">
        <v>38280</v>
      </c>
      <c r="B61" t="s">
        <v>214</v>
      </c>
      <c r="C61">
        <v>48</v>
      </c>
      <c r="D61">
        <v>51</v>
      </c>
      <c r="E61">
        <f>AVERAGE(C57:C61)</f>
        <v>45.62</v>
      </c>
      <c r="F61">
        <f>AVERAGE(D57:D61)</f>
        <v>49.1</v>
      </c>
      <c r="G61">
        <f>F61-E61</f>
        <v>3.480000000000004</v>
      </c>
      <c r="H61" s="1">
        <v>38278</v>
      </c>
    </row>
    <row r="62" spans="1:8" ht="12.75">
      <c r="A62" s="1">
        <v>38281</v>
      </c>
      <c r="B62" t="s">
        <v>292</v>
      </c>
      <c r="C62">
        <v>48</v>
      </c>
      <c r="D62">
        <v>49</v>
      </c>
      <c r="E62">
        <f>AVERAGE(C58:C62)</f>
        <v>46.019999999999996</v>
      </c>
      <c r="F62">
        <f>AVERAGE(D58:D62)</f>
        <v>49.3</v>
      </c>
      <c r="G62">
        <f>F62-E62</f>
        <v>3.280000000000001</v>
      </c>
      <c r="H62" s="1">
        <v>38278</v>
      </c>
    </row>
    <row r="63" spans="1:8" ht="12.75">
      <c r="A63" s="1">
        <v>38283</v>
      </c>
      <c r="B63" t="s">
        <v>148</v>
      </c>
      <c r="C63">
        <v>44</v>
      </c>
      <c r="D63">
        <v>45</v>
      </c>
      <c r="E63">
        <f>AVERAGE(C59:C63)</f>
        <v>45.6</v>
      </c>
      <c r="F63">
        <f>AVERAGE(D59:D63)</f>
        <v>48.4</v>
      </c>
      <c r="G63">
        <f>F63-E63</f>
        <v>2.799999999999997</v>
      </c>
      <c r="H63" s="1">
        <v>38278</v>
      </c>
    </row>
    <row r="64" spans="1:8" ht="12.75">
      <c r="A64" s="1">
        <v>38281</v>
      </c>
      <c r="B64" t="s">
        <v>281</v>
      </c>
      <c r="C64">
        <v>45</v>
      </c>
      <c r="D64">
        <v>48</v>
      </c>
      <c r="E64">
        <f>AVERAGE(C60:C64)</f>
        <v>45.8</v>
      </c>
      <c r="F64">
        <f>AVERAGE(D60:D64)</f>
        <v>48.8</v>
      </c>
      <c r="G64">
        <f>F64-E64</f>
        <v>3</v>
      </c>
      <c r="H64" s="1">
        <v>38279</v>
      </c>
    </row>
    <row r="65" spans="1:8" ht="12.75">
      <c r="A65" s="1">
        <v>38281</v>
      </c>
      <c r="B65" t="s">
        <v>126</v>
      </c>
      <c r="C65">
        <v>47</v>
      </c>
      <c r="D65">
        <v>47</v>
      </c>
      <c r="E65">
        <f>AVERAGE(C61:C65)</f>
        <v>46.4</v>
      </c>
      <c r="F65">
        <f>AVERAGE(D61:D65)</f>
        <v>48</v>
      </c>
      <c r="G65">
        <f>F65-E65</f>
        <v>1.6000000000000014</v>
      </c>
      <c r="H65" s="1">
        <v>38279</v>
      </c>
    </row>
    <row r="66" spans="1:8" ht="12.75">
      <c r="A66" s="1">
        <v>38281</v>
      </c>
      <c r="B66" t="s">
        <v>41</v>
      </c>
      <c r="C66">
        <v>47</v>
      </c>
      <c r="D66">
        <v>50</v>
      </c>
      <c r="E66">
        <f>AVERAGE(C62:C66)</f>
        <v>46.2</v>
      </c>
      <c r="F66">
        <f>AVERAGE(D62:D66)</f>
        <v>47.8</v>
      </c>
      <c r="G66">
        <f>F66-E66</f>
        <v>1.5999999999999943</v>
      </c>
      <c r="H66" s="1">
        <v>38279</v>
      </c>
    </row>
    <row r="67" spans="1:8" ht="12.75">
      <c r="A67" s="1">
        <v>38282</v>
      </c>
      <c r="B67" t="s">
        <v>109</v>
      </c>
      <c r="C67">
        <v>47</v>
      </c>
      <c r="D67">
        <v>51</v>
      </c>
      <c r="E67">
        <f>AVERAGE(C63:C67)</f>
        <v>46</v>
      </c>
      <c r="F67">
        <f>AVERAGE(D63:D67)</f>
        <v>48.2</v>
      </c>
      <c r="G67">
        <f>F67-E67</f>
        <v>2.200000000000003</v>
      </c>
      <c r="H67" s="1">
        <v>38280</v>
      </c>
    </row>
    <row r="68" spans="1:8" ht="12.75">
      <c r="A68" s="1">
        <v>38282</v>
      </c>
      <c r="B68" t="s">
        <v>37</v>
      </c>
      <c r="C68">
        <v>46</v>
      </c>
      <c r="D68">
        <v>48</v>
      </c>
      <c r="E68">
        <f>AVERAGE(C64:C68)</f>
        <v>46.4</v>
      </c>
      <c r="F68">
        <f>AVERAGE(D64:D68)</f>
        <v>48.8</v>
      </c>
      <c r="G68">
        <f>F68-E68</f>
        <v>2.3999999999999986</v>
      </c>
      <c r="H68" s="1">
        <v>38280</v>
      </c>
    </row>
    <row r="69" spans="1:8" ht="12.75">
      <c r="A69" s="1">
        <v>38284</v>
      </c>
      <c r="B69" t="s">
        <v>169</v>
      </c>
      <c r="C69">
        <v>50</v>
      </c>
      <c r="D69">
        <v>48</v>
      </c>
      <c r="E69">
        <f>AVERAGE(C65:C69)</f>
        <v>47.4</v>
      </c>
      <c r="F69">
        <f>AVERAGE(D65:D69)</f>
        <v>48.8</v>
      </c>
      <c r="G69">
        <f>F69-E69</f>
        <v>1.3999999999999986</v>
      </c>
      <c r="H69" s="1">
        <v>38282</v>
      </c>
    </row>
    <row r="70" spans="1:8" ht="12.75">
      <c r="A70" s="1">
        <v>38288</v>
      </c>
      <c r="B70" t="s">
        <v>89</v>
      </c>
      <c r="C70">
        <v>47</v>
      </c>
      <c r="D70">
        <v>47</v>
      </c>
      <c r="E70">
        <f>AVERAGE(C66:C70)</f>
        <v>47.4</v>
      </c>
      <c r="F70">
        <f>AVERAGE(D66:D70)</f>
        <v>48.8</v>
      </c>
      <c r="G70">
        <f>F70-E70</f>
        <v>1.3999999999999986</v>
      </c>
      <c r="H70" s="1">
        <v>38284</v>
      </c>
    </row>
    <row r="71" spans="1:8" ht="12.75">
      <c r="A71" s="1">
        <v>38287</v>
      </c>
      <c r="B71" t="s">
        <v>93</v>
      </c>
      <c r="C71">
        <v>48</v>
      </c>
      <c r="D71">
        <v>49</v>
      </c>
      <c r="E71">
        <f>AVERAGE(C67:C71)</f>
        <v>47.6</v>
      </c>
      <c r="F71">
        <f>AVERAGE(D67:D71)</f>
        <v>48.6</v>
      </c>
      <c r="G71">
        <f>F71-E71</f>
        <v>1</v>
      </c>
      <c r="H71" s="1">
        <v>38285</v>
      </c>
    </row>
    <row r="72" spans="1:8" ht="12.75">
      <c r="A72" s="1">
        <v>38287</v>
      </c>
      <c r="B72" t="s">
        <v>169</v>
      </c>
      <c r="C72">
        <v>49</v>
      </c>
      <c r="D72">
        <v>48</v>
      </c>
      <c r="E72">
        <f>AVERAGE(C68:C72)</f>
        <v>48</v>
      </c>
      <c r="F72">
        <f>AVERAGE(D68:D72)</f>
        <v>48</v>
      </c>
      <c r="G72">
        <f>F72-E72</f>
        <v>0</v>
      </c>
      <c r="H72" s="1">
        <v>38285</v>
      </c>
    </row>
    <row r="73" spans="1:8" ht="12.75">
      <c r="A73" s="1">
        <v>38287</v>
      </c>
      <c r="B73" t="s">
        <v>0</v>
      </c>
      <c r="C73">
        <v>46</v>
      </c>
      <c r="D73">
        <v>50</v>
      </c>
      <c r="E73">
        <f>AVERAGE(C69:C73)</f>
        <v>48</v>
      </c>
      <c r="F73">
        <f>AVERAGE(D69:D73)</f>
        <v>48.4</v>
      </c>
      <c r="G73">
        <f>F73-E73</f>
        <v>0.3999999999999986</v>
      </c>
      <c r="H73" s="1">
        <v>38285</v>
      </c>
    </row>
    <row r="74" spans="1:8" ht="12.75">
      <c r="A74" s="1">
        <v>38288</v>
      </c>
      <c r="B74" t="s">
        <v>4</v>
      </c>
      <c r="C74">
        <v>46</v>
      </c>
      <c r="D74">
        <v>48</v>
      </c>
      <c r="E74">
        <f>AVERAGE(C70:C74)</f>
        <v>47.2</v>
      </c>
      <c r="F74">
        <f>AVERAGE(D70:D74)</f>
        <v>48.4</v>
      </c>
      <c r="G74">
        <f>F74-E74</f>
        <v>1.1999999999999957</v>
      </c>
      <c r="H74" s="1">
        <v>38285</v>
      </c>
    </row>
    <row r="75" spans="1:8" ht="12.75">
      <c r="A75" s="1">
        <v>38288</v>
      </c>
      <c r="B75" t="s">
        <v>214</v>
      </c>
      <c r="C75">
        <v>49</v>
      </c>
      <c r="D75">
        <v>48</v>
      </c>
      <c r="E75">
        <f>AVERAGE(C71:C75)</f>
        <v>47.6</v>
      </c>
      <c r="F75">
        <f>AVERAGE(D71:D75)</f>
        <v>48.6</v>
      </c>
      <c r="G75">
        <f>F75-E75</f>
        <v>1</v>
      </c>
      <c r="H75" s="1">
        <v>38285</v>
      </c>
    </row>
    <row r="76" spans="1:8" ht="12.75">
      <c r="A76" s="1">
        <v>38290</v>
      </c>
      <c r="B76" t="s">
        <v>52</v>
      </c>
      <c r="C76">
        <v>43</v>
      </c>
      <c r="D76">
        <v>47</v>
      </c>
      <c r="E76">
        <f>AVERAGE(C72:C76)</f>
        <v>46.6</v>
      </c>
      <c r="F76">
        <f>AVERAGE(D72:D76)</f>
        <v>48.2</v>
      </c>
      <c r="G76">
        <f>F76-E76</f>
        <v>1.6000000000000014</v>
      </c>
      <c r="H76" s="1">
        <v>38286</v>
      </c>
    </row>
    <row r="77" spans="1:8" ht="12.75">
      <c r="A77" s="1">
        <v>38289</v>
      </c>
      <c r="B77" t="s">
        <v>109</v>
      </c>
      <c r="C77">
        <v>46</v>
      </c>
      <c r="D77">
        <v>52</v>
      </c>
      <c r="E77">
        <f>AVERAGE(C73:C77)</f>
        <v>46</v>
      </c>
      <c r="F77">
        <f>AVERAGE(D73:D77)</f>
        <v>49</v>
      </c>
      <c r="G77">
        <f>F77-E77</f>
        <v>3</v>
      </c>
      <c r="H77" s="1">
        <v>38287</v>
      </c>
    </row>
    <row r="78" spans="1:8" ht="12.75">
      <c r="A78" s="1">
        <v>38290</v>
      </c>
      <c r="B78" t="s">
        <v>169</v>
      </c>
      <c r="C78">
        <v>48</v>
      </c>
      <c r="D78">
        <v>50</v>
      </c>
      <c r="E78">
        <f>AVERAGE(C74:C78)</f>
        <v>46.4</v>
      </c>
      <c r="F78">
        <f>AVERAGE(D74:D78)</f>
        <v>49</v>
      </c>
      <c r="G78">
        <f>F78-E78</f>
        <v>2.6000000000000014</v>
      </c>
      <c r="H78" s="1">
        <v>38288</v>
      </c>
    </row>
    <row r="79" spans="1:8" ht="12.75">
      <c r="A79" s="1">
        <v>38290</v>
      </c>
      <c r="B79" t="s">
        <v>281</v>
      </c>
      <c r="C79">
        <v>46</v>
      </c>
      <c r="D79">
        <v>47</v>
      </c>
      <c r="E79">
        <f>AVERAGE(C75:C79)</f>
        <v>46.4</v>
      </c>
      <c r="F79">
        <f>AVERAGE(D75:D79)</f>
        <v>48.8</v>
      </c>
      <c r="G79">
        <f>F79-E79</f>
        <v>2.3999999999999986</v>
      </c>
      <c r="H79" s="1">
        <v>38288</v>
      </c>
    </row>
    <row r="80" spans="1:8" ht="12.75">
      <c r="A80" s="1">
        <v>38291</v>
      </c>
      <c r="B80" t="s">
        <v>292</v>
      </c>
      <c r="C80">
        <v>48</v>
      </c>
      <c r="D80">
        <v>48</v>
      </c>
      <c r="E80">
        <f>AVERAGE(C76:C80)</f>
        <v>46.2</v>
      </c>
      <c r="F80">
        <f>AVERAGE(D76:D80)</f>
        <v>48.8</v>
      </c>
      <c r="G80">
        <f>F80-E80</f>
        <v>2.5999999999999943</v>
      </c>
      <c r="H80" s="1">
        <v>38288</v>
      </c>
    </row>
    <row r="81" spans="1:8" ht="12.75">
      <c r="A81" s="1">
        <v>38292</v>
      </c>
      <c r="B81" t="s">
        <v>303</v>
      </c>
      <c r="C81">
        <v>49</v>
      </c>
      <c r="D81">
        <v>46</v>
      </c>
      <c r="E81">
        <f>AVERAGE(C77:C81)</f>
        <v>47.4</v>
      </c>
      <c r="F81">
        <f>AVERAGE(D77:D81)</f>
        <v>48.6</v>
      </c>
      <c r="G81">
        <f>F81-E81</f>
        <v>1.2000000000000028</v>
      </c>
      <c r="H81" s="1">
        <v>38288</v>
      </c>
    </row>
    <row r="82" spans="1:8" ht="12.75">
      <c r="A82" s="1">
        <v>38291</v>
      </c>
      <c r="B82" t="s">
        <v>81</v>
      </c>
      <c r="C82">
        <v>45</v>
      </c>
      <c r="D82">
        <v>47</v>
      </c>
      <c r="E82">
        <f>AVERAGE(C78:C82)</f>
        <v>47.2</v>
      </c>
      <c r="F82">
        <f>AVERAGE(D78:D82)</f>
        <v>47.6</v>
      </c>
      <c r="G82">
        <f>F82-E82</f>
        <v>0.3999999999999986</v>
      </c>
      <c r="H82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1">
      <selection activeCell="C12" sqref="C12"/>
    </sheetView>
  </sheetViews>
  <sheetFormatPr defaultColWidth="11.00390625" defaultRowHeight="12.75"/>
  <sheetData>
    <row r="3" spans="3:7" ht="12.75">
      <c r="C3" s="3" t="s">
        <v>75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9" ht="12.75">
      <c r="A5" s="1">
        <v>38051</v>
      </c>
      <c r="B5" t="s">
        <v>126</v>
      </c>
      <c r="C5">
        <v>42</v>
      </c>
      <c r="D5">
        <v>46</v>
      </c>
      <c r="E5">
        <f aca="true" t="shared" si="0" ref="E5:F16">AVERAGE(C1:C5)</f>
        <v>42</v>
      </c>
      <c r="F5">
        <f t="shared" si="0"/>
        <v>46</v>
      </c>
      <c r="G5">
        <f aca="true" t="shared" si="1" ref="G5:G16">F5-E5</f>
        <v>4</v>
      </c>
      <c r="H5" s="1">
        <v>38044</v>
      </c>
      <c r="I5">
        <f aca="true" t="shared" si="2" ref="I5:I16">D5-C5</f>
        <v>4</v>
      </c>
    </row>
    <row r="6" spans="1:9" ht="12.75">
      <c r="A6" s="1">
        <v>38121</v>
      </c>
      <c r="B6" t="s">
        <v>129</v>
      </c>
      <c r="C6">
        <v>44</v>
      </c>
      <c r="D6">
        <v>38</v>
      </c>
      <c r="E6">
        <f t="shared" si="0"/>
        <v>43</v>
      </c>
      <c r="F6">
        <f t="shared" si="0"/>
        <v>42</v>
      </c>
      <c r="G6">
        <f t="shared" si="1"/>
        <v>-1</v>
      </c>
      <c r="H6" s="1">
        <v>38079</v>
      </c>
      <c r="I6">
        <f t="shared" si="2"/>
        <v>-6</v>
      </c>
    </row>
    <row r="7" spans="1:9" ht="12.75">
      <c r="A7" s="1">
        <v>38178</v>
      </c>
      <c r="B7" t="s">
        <v>169</v>
      </c>
      <c r="C7">
        <v>43</v>
      </c>
      <c r="D7">
        <v>43</v>
      </c>
      <c r="E7">
        <f t="shared" si="0"/>
        <v>43</v>
      </c>
      <c r="F7">
        <f t="shared" si="0"/>
        <v>42.333333333333336</v>
      </c>
      <c r="G7">
        <f t="shared" si="1"/>
        <v>-0.6666666666666643</v>
      </c>
      <c r="H7" s="1">
        <v>38177</v>
      </c>
      <c r="I7">
        <f t="shared" si="2"/>
        <v>0</v>
      </c>
    </row>
    <row r="8" spans="1:9" ht="12.75">
      <c r="A8" s="1">
        <v>38192</v>
      </c>
      <c r="B8" t="s">
        <v>208</v>
      </c>
      <c r="C8">
        <v>45</v>
      </c>
      <c r="D8">
        <v>42</v>
      </c>
      <c r="E8">
        <f t="shared" si="0"/>
        <v>43.5</v>
      </c>
      <c r="F8">
        <f t="shared" si="0"/>
        <v>42.25</v>
      </c>
      <c r="G8">
        <f t="shared" si="1"/>
        <v>-1.25</v>
      </c>
      <c r="H8" s="1">
        <v>38190</v>
      </c>
      <c r="I8">
        <f t="shared" si="2"/>
        <v>-3</v>
      </c>
    </row>
    <row r="9" spans="1:9" ht="12.75">
      <c r="A9" s="1">
        <v>38233</v>
      </c>
      <c r="B9" t="s">
        <v>69</v>
      </c>
      <c r="C9">
        <v>40</v>
      </c>
      <c r="D9">
        <v>43</v>
      </c>
      <c r="E9">
        <f t="shared" si="0"/>
        <v>42.8</v>
      </c>
      <c r="F9">
        <f t="shared" si="0"/>
        <v>42.4</v>
      </c>
      <c r="G9">
        <f t="shared" si="1"/>
        <v>-0.3999999999999986</v>
      </c>
      <c r="H9" s="1">
        <v>38225</v>
      </c>
      <c r="I9">
        <f t="shared" si="2"/>
        <v>3</v>
      </c>
    </row>
    <row r="10" spans="1:9" ht="12.75">
      <c r="A10" s="1">
        <v>38240</v>
      </c>
      <c r="B10" t="s">
        <v>169</v>
      </c>
      <c r="C10">
        <v>55</v>
      </c>
      <c r="D10">
        <v>41</v>
      </c>
      <c r="E10">
        <f t="shared" si="0"/>
        <v>45.4</v>
      </c>
      <c r="F10">
        <f t="shared" si="0"/>
        <v>41.4</v>
      </c>
      <c r="G10">
        <f t="shared" si="1"/>
        <v>-4</v>
      </c>
      <c r="H10" s="1">
        <v>38237</v>
      </c>
      <c r="I10">
        <f t="shared" si="2"/>
        <v>-14</v>
      </c>
    </row>
    <row r="11" spans="1:9" ht="12.75">
      <c r="A11" s="1">
        <v>38249</v>
      </c>
      <c r="B11" t="s">
        <v>59</v>
      </c>
      <c r="C11">
        <v>52</v>
      </c>
      <c r="D11">
        <v>43</v>
      </c>
      <c r="E11">
        <f t="shared" si="0"/>
        <v>47</v>
      </c>
      <c r="F11">
        <f t="shared" si="0"/>
        <v>42.4</v>
      </c>
      <c r="G11">
        <f t="shared" si="1"/>
        <v>-4.600000000000001</v>
      </c>
      <c r="H11" s="1">
        <v>38246</v>
      </c>
      <c r="I11">
        <f t="shared" si="2"/>
        <v>-9</v>
      </c>
    </row>
    <row r="12" spans="1:9" ht="12.75">
      <c r="A12" s="1">
        <v>38249</v>
      </c>
      <c r="B12" t="s">
        <v>81</v>
      </c>
      <c r="C12">
        <v>53</v>
      </c>
      <c r="D12">
        <v>40</v>
      </c>
      <c r="E12">
        <f t="shared" si="0"/>
        <v>49</v>
      </c>
      <c r="F12">
        <f t="shared" si="0"/>
        <v>41.8</v>
      </c>
      <c r="G12">
        <f t="shared" si="1"/>
        <v>-7.200000000000003</v>
      </c>
      <c r="H12" s="1">
        <v>38246</v>
      </c>
      <c r="I12">
        <f t="shared" si="2"/>
        <v>-13</v>
      </c>
    </row>
    <row r="13" spans="1:9" ht="12.75">
      <c r="A13" s="1">
        <v>38273</v>
      </c>
      <c r="B13" t="s">
        <v>220</v>
      </c>
      <c r="C13">
        <v>43</v>
      </c>
      <c r="D13">
        <v>45</v>
      </c>
      <c r="E13">
        <f t="shared" si="0"/>
        <v>48.6</v>
      </c>
      <c r="F13">
        <f t="shared" si="0"/>
        <v>42.4</v>
      </c>
      <c r="G13">
        <f t="shared" si="1"/>
        <v>-6.200000000000003</v>
      </c>
      <c r="H13" s="1">
        <v>38267</v>
      </c>
      <c r="I13">
        <f t="shared" si="2"/>
        <v>2</v>
      </c>
    </row>
    <row r="14" spans="1:9" ht="12.75">
      <c r="A14" s="1">
        <v>38276</v>
      </c>
      <c r="B14" t="s">
        <v>69</v>
      </c>
      <c r="C14">
        <v>41</v>
      </c>
      <c r="D14">
        <v>44</v>
      </c>
      <c r="E14">
        <f t="shared" si="0"/>
        <v>48.8</v>
      </c>
      <c r="F14">
        <f t="shared" si="0"/>
        <v>42.6</v>
      </c>
      <c r="G14">
        <f t="shared" si="1"/>
        <v>-6.199999999999996</v>
      </c>
      <c r="H14" s="1">
        <v>38273</v>
      </c>
      <c r="I14">
        <f t="shared" si="2"/>
        <v>3</v>
      </c>
    </row>
    <row r="15" spans="1:12" ht="12.75">
      <c r="A15" s="1">
        <v>38277</v>
      </c>
      <c r="B15" t="s">
        <v>81</v>
      </c>
      <c r="C15">
        <v>45</v>
      </c>
      <c r="D15">
        <v>45</v>
      </c>
      <c r="E15">
        <f t="shared" si="0"/>
        <v>46.8</v>
      </c>
      <c r="F15">
        <f t="shared" si="0"/>
        <v>43.4</v>
      </c>
      <c r="G15">
        <f t="shared" si="1"/>
        <v>-3.3999999999999986</v>
      </c>
      <c r="H15" s="1">
        <v>38274</v>
      </c>
      <c r="I15">
        <f t="shared" si="2"/>
        <v>0</v>
      </c>
      <c r="J15">
        <f>AVERAGE(C13:C15)</f>
        <v>43</v>
      </c>
      <c r="K15">
        <f>AVERAGE(D13:D15)</f>
        <v>44.666666666666664</v>
      </c>
      <c r="L15">
        <f>K15-J15</f>
        <v>1.6666666666666643</v>
      </c>
    </row>
    <row r="16" spans="1:9" ht="12.75">
      <c r="A16" s="1">
        <v>38291</v>
      </c>
      <c r="B16" t="s">
        <v>81</v>
      </c>
      <c r="C16">
        <v>47</v>
      </c>
      <c r="D16">
        <v>46</v>
      </c>
      <c r="E16">
        <f t="shared" si="0"/>
        <v>45.8</v>
      </c>
      <c r="F16">
        <f t="shared" si="0"/>
        <v>44</v>
      </c>
      <c r="G16">
        <f t="shared" si="1"/>
        <v>-1.7999999999999972</v>
      </c>
      <c r="H16" s="1">
        <v>38288</v>
      </c>
      <c r="I16">
        <f t="shared" si="2"/>
        <v>-1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3:K99"/>
  <sheetViews>
    <sheetView zoomScalePageLayoutView="0" workbookViewId="0" topLeftCell="A1">
      <pane ySplit="1560" topLeftCell="BM76" activePane="bottomLeft" state="split"/>
      <selection pane="topLeft" activeCell="A1" sqref="A1"/>
      <selection pane="bottomLeft" activeCell="H106" sqref="H106"/>
    </sheetView>
  </sheetViews>
  <sheetFormatPr defaultColWidth="11.00390625" defaultRowHeight="12.75"/>
  <sheetData>
    <row r="3" spans="3:7" ht="12.75">
      <c r="C3" s="3" t="s">
        <v>121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37940</v>
      </c>
      <c r="B5" t="s">
        <v>126</v>
      </c>
      <c r="C5">
        <v>52</v>
      </c>
      <c r="D5">
        <v>37</v>
      </c>
      <c r="E5">
        <f>AVERAGE(C1:C5)</f>
        <v>52</v>
      </c>
      <c r="F5">
        <f>AVERAGE(D1:D5)</f>
        <v>37</v>
      </c>
      <c r="G5">
        <f>F5-E5</f>
        <v>-15</v>
      </c>
      <c r="H5" s="1">
        <v>37935</v>
      </c>
    </row>
    <row r="6" spans="1:8" ht="12.75">
      <c r="A6" s="1">
        <v>37972</v>
      </c>
      <c r="B6" t="s">
        <v>126</v>
      </c>
      <c r="C6">
        <v>47</v>
      </c>
      <c r="D6">
        <v>38</v>
      </c>
      <c r="E6">
        <f>AVERAGE(C2:C6)</f>
        <v>49.5</v>
      </c>
      <c r="F6">
        <f>AVERAGE(D2:D6)</f>
        <v>37.5</v>
      </c>
      <c r="G6">
        <f>F6-E6</f>
        <v>-12</v>
      </c>
      <c r="H6" s="1">
        <v>37969</v>
      </c>
    </row>
    <row r="7" spans="1:8" ht="12.75">
      <c r="A7" s="1">
        <v>38055</v>
      </c>
      <c r="B7" t="s">
        <v>280</v>
      </c>
      <c r="C7">
        <v>42</v>
      </c>
      <c r="D7">
        <v>40</v>
      </c>
      <c r="E7">
        <f>AVERAGE(C3:C7)</f>
        <v>47</v>
      </c>
      <c r="F7">
        <f>AVERAGE(D3:D7)</f>
        <v>38.333333333333336</v>
      </c>
      <c r="G7">
        <f>F7-E7</f>
        <v>-8.666666666666664</v>
      </c>
      <c r="H7" s="1">
        <v>38028</v>
      </c>
    </row>
    <row r="8" spans="1:8" ht="12.75">
      <c r="A8" s="1">
        <v>38055</v>
      </c>
      <c r="B8" t="s">
        <v>169</v>
      </c>
      <c r="C8">
        <v>42</v>
      </c>
      <c r="D8">
        <v>41</v>
      </c>
      <c r="E8">
        <f>AVERAGE(C4:C8)</f>
        <v>45.75</v>
      </c>
      <c r="F8">
        <f>AVERAGE(D4:D8)</f>
        <v>39</v>
      </c>
      <c r="G8">
        <f>F8-E8</f>
        <v>-6.75</v>
      </c>
      <c r="H8" s="1">
        <v>38033</v>
      </c>
    </row>
    <row r="9" spans="1:8" ht="12.75">
      <c r="A9" s="1">
        <v>38055</v>
      </c>
      <c r="B9" t="s">
        <v>126</v>
      </c>
      <c r="C9">
        <v>44</v>
      </c>
      <c r="D9">
        <v>47</v>
      </c>
      <c r="E9">
        <f>AVERAGE(C5:C9)</f>
        <v>45.4</v>
      </c>
      <c r="F9">
        <f>AVERAGE(D5:D9)</f>
        <v>40.6</v>
      </c>
      <c r="G9">
        <f>F9-E9</f>
        <v>-4.799999999999997</v>
      </c>
      <c r="H9" s="1">
        <v>38033</v>
      </c>
    </row>
    <row r="10" spans="1:8" ht="12.75">
      <c r="A10" s="1">
        <v>38055</v>
      </c>
      <c r="B10" t="s">
        <v>92</v>
      </c>
      <c r="C10">
        <v>47</v>
      </c>
      <c r="D10">
        <v>48</v>
      </c>
      <c r="E10">
        <f>AVERAGE(C6:C10)</f>
        <v>44.4</v>
      </c>
      <c r="F10">
        <f>AVERAGE(D6:D10)</f>
        <v>42.8</v>
      </c>
      <c r="G10">
        <f>F10-E10</f>
        <v>-1.6000000000000014</v>
      </c>
      <c r="H10" s="1">
        <v>38040</v>
      </c>
    </row>
    <row r="11" spans="1:8" ht="12.75">
      <c r="A11" s="1">
        <v>38051</v>
      </c>
      <c r="B11" t="s">
        <v>126</v>
      </c>
      <c r="C11">
        <v>40</v>
      </c>
      <c r="D11">
        <v>50</v>
      </c>
      <c r="E11">
        <f>AVERAGE(C7:C11)</f>
        <v>43</v>
      </c>
      <c r="F11">
        <f>AVERAGE(D7:D11)</f>
        <v>45.2</v>
      </c>
      <c r="G11">
        <f>F11-E11</f>
        <v>2.200000000000003</v>
      </c>
      <c r="H11" s="1">
        <v>38044</v>
      </c>
    </row>
    <row r="12" spans="1:8" ht="12.75">
      <c r="A12" s="1">
        <v>38060</v>
      </c>
      <c r="B12" t="s">
        <v>169</v>
      </c>
      <c r="C12">
        <v>46</v>
      </c>
      <c r="D12">
        <v>40</v>
      </c>
      <c r="E12">
        <f>AVERAGE(C8:C12)</f>
        <v>43.8</v>
      </c>
      <c r="F12">
        <f>AVERAGE(D8:D12)</f>
        <v>45.2</v>
      </c>
      <c r="G12">
        <f>F12-E12</f>
        <v>1.4000000000000057</v>
      </c>
      <c r="H12" s="1">
        <v>38058</v>
      </c>
    </row>
    <row r="13" spans="1:8" ht="12.75">
      <c r="A13" s="1">
        <v>38065</v>
      </c>
      <c r="B13" t="s">
        <v>126</v>
      </c>
      <c r="C13">
        <v>50</v>
      </c>
      <c r="D13">
        <v>43</v>
      </c>
      <c r="E13">
        <f>AVERAGE(C9:C13)</f>
        <v>45.4</v>
      </c>
      <c r="F13">
        <f>AVERAGE(D9:D13)</f>
        <v>45.6</v>
      </c>
      <c r="G13">
        <f>F13-E13</f>
        <v>0.20000000000000284</v>
      </c>
      <c r="H13" s="1">
        <v>38061</v>
      </c>
    </row>
    <row r="14" spans="1:8" ht="12.75">
      <c r="A14" s="1">
        <v>38064</v>
      </c>
      <c r="B14" t="s">
        <v>93</v>
      </c>
      <c r="C14">
        <v>49</v>
      </c>
      <c r="D14">
        <v>41</v>
      </c>
      <c r="E14">
        <f>AVERAGE(C10:C14)</f>
        <v>46.4</v>
      </c>
      <c r="F14">
        <f>AVERAGE(D10:D14)</f>
        <v>44.4</v>
      </c>
      <c r="G14">
        <f>F14-E14</f>
        <v>-2</v>
      </c>
      <c r="H14" s="1">
        <v>38062</v>
      </c>
    </row>
    <row r="15" spans="1:8" ht="12.75">
      <c r="A15" s="1">
        <v>38119</v>
      </c>
      <c r="B15" t="s">
        <v>169</v>
      </c>
      <c r="C15">
        <v>42</v>
      </c>
      <c r="D15">
        <v>48</v>
      </c>
      <c r="E15">
        <f>AVERAGE(C11:C15)</f>
        <v>45.4</v>
      </c>
      <c r="F15">
        <f>AVERAGE(D11:D15)</f>
        <v>44.4</v>
      </c>
      <c r="G15">
        <f>F15-E15</f>
        <v>-1</v>
      </c>
      <c r="H15" s="1">
        <v>38071</v>
      </c>
    </row>
    <row r="16" spans="1:8" ht="12.75">
      <c r="A16" s="1">
        <v>38079</v>
      </c>
      <c r="B16" t="s">
        <v>280</v>
      </c>
      <c r="C16">
        <v>42</v>
      </c>
      <c r="D16">
        <v>43</v>
      </c>
      <c r="E16">
        <f>AVERAGE(C12:C16)</f>
        <v>45.8</v>
      </c>
      <c r="F16">
        <f>AVERAGE(D12:D16)</f>
        <v>43</v>
      </c>
      <c r="G16">
        <f>F16-E16</f>
        <v>-2.799999999999997</v>
      </c>
      <c r="H16" s="1">
        <v>38076</v>
      </c>
    </row>
    <row r="17" spans="1:8" ht="12.75">
      <c r="A17" s="1">
        <v>38087</v>
      </c>
      <c r="B17" t="s">
        <v>169</v>
      </c>
      <c r="C17">
        <v>47</v>
      </c>
      <c r="D17">
        <v>40</v>
      </c>
      <c r="E17">
        <f>AVERAGE(C13:C17)</f>
        <v>46</v>
      </c>
      <c r="F17">
        <f>AVERAGE(D13:D17)</f>
        <v>43</v>
      </c>
      <c r="G17">
        <f>F17-E17</f>
        <v>-3</v>
      </c>
      <c r="H17" s="1">
        <v>38084</v>
      </c>
    </row>
    <row r="18" spans="1:8" ht="12.75">
      <c r="A18" s="1">
        <v>38094</v>
      </c>
      <c r="B18" t="s">
        <v>126</v>
      </c>
      <c r="C18">
        <v>47</v>
      </c>
      <c r="D18">
        <v>45</v>
      </c>
      <c r="E18">
        <f>AVERAGE(C14:C18)</f>
        <v>45.4</v>
      </c>
      <c r="F18">
        <f>AVERAGE(D14:D18)</f>
        <v>43.4</v>
      </c>
      <c r="G18">
        <f>F18-E18</f>
        <v>-2</v>
      </c>
      <c r="H18" s="1">
        <v>38089</v>
      </c>
    </row>
    <row r="19" spans="1:8" ht="12.75">
      <c r="A19" s="1">
        <v>38108</v>
      </c>
      <c r="B19" t="s">
        <v>280</v>
      </c>
      <c r="C19">
        <v>43</v>
      </c>
      <c r="D19">
        <v>42</v>
      </c>
      <c r="E19">
        <f>AVERAGE(C15:C19)</f>
        <v>44.2</v>
      </c>
      <c r="F19">
        <f>AVERAGE(D15:D19)</f>
        <v>43.6</v>
      </c>
      <c r="G19">
        <f>F19-E19</f>
        <v>-0.6000000000000014</v>
      </c>
      <c r="H19" s="1">
        <v>38107</v>
      </c>
    </row>
    <row r="20" spans="1:8" ht="12.75">
      <c r="A20" s="1">
        <v>38125</v>
      </c>
      <c r="B20" t="s">
        <v>169</v>
      </c>
      <c r="C20">
        <v>45</v>
      </c>
      <c r="D20">
        <v>44</v>
      </c>
      <c r="E20">
        <f>AVERAGE(C16:C20)</f>
        <v>44.8</v>
      </c>
      <c r="F20">
        <f>AVERAGE(D16:D20)</f>
        <v>42.8</v>
      </c>
      <c r="G20">
        <f>F20-E20</f>
        <v>-2</v>
      </c>
      <c r="H20" s="1">
        <v>38121</v>
      </c>
    </row>
    <row r="21" spans="1:8" ht="12.75">
      <c r="A21" s="1">
        <v>38129</v>
      </c>
      <c r="B21" t="s">
        <v>126</v>
      </c>
      <c r="C21">
        <v>39</v>
      </c>
      <c r="D21">
        <v>48</v>
      </c>
      <c r="E21">
        <f>AVERAGE(C17:C21)</f>
        <v>44.2</v>
      </c>
      <c r="F21">
        <f>AVERAGE(D17:D21)</f>
        <v>43.8</v>
      </c>
      <c r="G21">
        <f>F21-E21</f>
        <v>-0.4000000000000057</v>
      </c>
      <c r="H21" s="1">
        <v>38124</v>
      </c>
    </row>
    <row r="22" spans="1:8" ht="12.75">
      <c r="A22" s="1">
        <v>38129</v>
      </c>
      <c r="B22" t="s">
        <v>280</v>
      </c>
      <c r="C22">
        <v>44</v>
      </c>
      <c r="D22">
        <v>40</v>
      </c>
      <c r="E22">
        <f>AVERAGE(C18:C22)</f>
        <v>43.6</v>
      </c>
      <c r="F22">
        <f>AVERAGE(D18:D22)</f>
        <v>43.8</v>
      </c>
      <c r="G22">
        <f>F22-E22</f>
        <v>0.19999999999999574</v>
      </c>
      <c r="H22" s="1">
        <v>38126</v>
      </c>
    </row>
    <row r="23" spans="1:8" ht="12.75">
      <c r="A23" s="1">
        <v>38155</v>
      </c>
      <c r="B23" t="s">
        <v>93</v>
      </c>
      <c r="C23">
        <v>39</v>
      </c>
      <c r="D23">
        <v>50</v>
      </c>
      <c r="E23">
        <f>AVERAGE(C19:C23)</f>
        <v>42</v>
      </c>
      <c r="F23">
        <f>AVERAGE(D19:D23)</f>
        <v>44.8</v>
      </c>
      <c r="G23">
        <f>F23-E23</f>
        <v>2.799999999999997</v>
      </c>
      <c r="H23" s="1">
        <v>38152</v>
      </c>
    </row>
    <row r="24" spans="1:8" ht="12.75">
      <c r="A24" s="1">
        <v>38155</v>
      </c>
      <c r="B24" t="s">
        <v>280</v>
      </c>
      <c r="C24">
        <v>42</v>
      </c>
      <c r="D24">
        <v>48</v>
      </c>
      <c r="E24">
        <f>AVERAGE(C20:C24)</f>
        <v>41.8</v>
      </c>
      <c r="F24">
        <f>AVERAGE(D20:D24)</f>
        <v>46</v>
      </c>
      <c r="G24">
        <f>F24-E24</f>
        <v>4.200000000000003</v>
      </c>
      <c r="H24" s="1">
        <v>38153</v>
      </c>
    </row>
    <row r="25" spans="1:8" ht="12.75">
      <c r="A25" s="1">
        <v>38157</v>
      </c>
      <c r="B25" t="s">
        <v>169</v>
      </c>
      <c r="C25">
        <v>44</v>
      </c>
      <c r="D25">
        <v>43</v>
      </c>
      <c r="E25">
        <f>AVERAGE(C21:C25)</f>
        <v>41.6</v>
      </c>
      <c r="F25">
        <f>AVERAGE(D21:D25)</f>
        <v>45.8</v>
      </c>
      <c r="G25">
        <f>F25-E25</f>
        <v>4.199999999999996</v>
      </c>
      <c r="H25" s="1">
        <v>38156</v>
      </c>
    </row>
    <row r="26" spans="1:8" ht="12.75">
      <c r="A26" s="1">
        <v>38165</v>
      </c>
      <c r="B26" t="s">
        <v>126</v>
      </c>
      <c r="C26">
        <v>46</v>
      </c>
      <c r="D26">
        <v>48</v>
      </c>
      <c r="E26">
        <f>AVERAGE(C22:C26)</f>
        <v>43</v>
      </c>
      <c r="F26">
        <f>AVERAGE(D22:D26)</f>
        <v>45.8</v>
      </c>
      <c r="G26">
        <f>F26-E26</f>
        <v>2.799999999999997</v>
      </c>
      <c r="H26" s="1">
        <v>38164</v>
      </c>
    </row>
    <row r="27" spans="1:8" ht="12.75">
      <c r="A27" s="1">
        <v>38176</v>
      </c>
      <c r="B27" t="s">
        <v>239</v>
      </c>
      <c r="C27">
        <v>38</v>
      </c>
      <c r="D27">
        <v>43</v>
      </c>
      <c r="E27">
        <f>AVERAGE(C23:C27)</f>
        <v>41.8</v>
      </c>
      <c r="F27">
        <f>AVERAGE(D23:D27)</f>
        <v>46.4</v>
      </c>
      <c r="G27">
        <f>F27-E27</f>
        <v>4.600000000000001</v>
      </c>
      <c r="H27" s="1">
        <v>38167</v>
      </c>
    </row>
    <row r="28" spans="1:8" ht="12.75">
      <c r="A28" s="1">
        <v>38189</v>
      </c>
      <c r="B28" t="s">
        <v>93</v>
      </c>
      <c r="C28">
        <v>40</v>
      </c>
      <c r="D28">
        <v>48</v>
      </c>
      <c r="E28">
        <f>AVERAGE(C24:C28)</f>
        <v>42</v>
      </c>
      <c r="F28">
        <f>AVERAGE(D24:D28)</f>
        <v>46</v>
      </c>
      <c r="G28">
        <f>F28-E28</f>
        <v>4</v>
      </c>
      <c r="H28" s="1">
        <v>38187</v>
      </c>
    </row>
    <row r="29" spans="1:8" ht="12.75">
      <c r="A29" s="1">
        <v>38190</v>
      </c>
      <c r="B29" t="s">
        <v>169</v>
      </c>
      <c r="C29">
        <v>52</v>
      </c>
      <c r="D29">
        <v>42</v>
      </c>
      <c r="E29">
        <f>AVERAGE(C25:C29)</f>
        <v>44</v>
      </c>
      <c r="F29">
        <f>AVERAGE(D25:D29)</f>
        <v>44.8</v>
      </c>
      <c r="G29">
        <f>F29-E29</f>
        <v>0.7999999999999972</v>
      </c>
      <c r="H29" s="1">
        <v>38188</v>
      </c>
    </row>
    <row r="30" spans="1:8" ht="12.75">
      <c r="A30" s="1">
        <v>38198</v>
      </c>
      <c r="B30" t="s">
        <v>280</v>
      </c>
      <c r="C30">
        <v>44</v>
      </c>
      <c r="D30">
        <v>46</v>
      </c>
      <c r="E30">
        <f>AVERAGE(C26:C30)</f>
        <v>44</v>
      </c>
      <c r="F30">
        <f>AVERAGE(D26:D30)</f>
        <v>45.4</v>
      </c>
      <c r="G30">
        <f>F30-E30</f>
        <v>1.3999999999999986</v>
      </c>
      <c r="H30" s="1">
        <v>38196</v>
      </c>
    </row>
    <row r="31" spans="1:8" ht="12.75">
      <c r="A31" s="1">
        <v>38216</v>
      </c>
      <c r="B31" t="s">
        <v>93</v>
      </c>
      <c r="C31">
        <v>45</v>
      </c>
      <c r="D31">
        <v>45</v>
      </c>
      <c r="E31">
        <f>AVERAGE(C27:C31)</f>
        <v>43.8</v>
      </c>
      <c r="F31">
        <f>AVERAGE(D27:D31)</f>
        <v>44.8</v>
      </c>
      <c r="G31">
        <f>F31-E31</f>
        <v>1</v>
      </c>
      <c r="H31" s="1">
        <v>38212</v>
      </c>
    </row>
    <row r="32" spans="1:8" ht="12.75">
      <c r="A32" s="1">
        <v>38218</v>
      </c>
      <c r="B32" t="s">
        <v>169</v>
      </c>
      <c r="C32">
        <v>48</v>
      </c>
      <c r="D32">
        <v>43</v>
      </c>
      <c r="E32">
        <f>AVERAGE(C28:C32)</f>
        <v>45.8</v>
      </c>
      <c r="F32">
        <f>AVERAGE(D28:D32)</f>
        <v>44.8</v>
      </c>
      <c r="G32">
        <f>F32-E32</f>
        <v>-1</v>
      </c>
      <c r="H32" s="1">
        <v>38216</v>
      </c>
    </row>
    <row r="33" spans="1:8" ht="12.75">
      <c r="A33" s="1">
        <v>38221</v>
      </c>
      <c r="B33" t="s">
        <v>41</v>
      </c>
      <c r="C33">
        <v>36</v>
      </c>
      <c r="D33">
        <v>41</v>
      </c>
      <c r="E33">
        <f>AVERAGE(C29:C33)</f>
        <v>45</v>
      </c>
      <c r="F33">
        <f>AVERAGE(D29:D33)</f>
        <v>43.4</v>
      </c>
      <c r="G33">
        <f>F33-E33</f>
        <v>-1.6000000000000014</v>
      </c>
      <c r="H33" s="1">
        <v>38217</v>
      </c>
    </row>
    <row r="34" spans="1:8" ht="12.75">
      <c r="A34" s="1">
        <v>38223</v>
      </c>
      <c r="B34" t="s">
        <v>122</v>
      </c>
      <c r="C34">
        <v>42</v>
      </c>
      <c r="D34">
        <v>41</v>
      </c>
      <c r="E34">
        <f>AVERAGE(C30:C34)</f>
        <v>43</v>
      </c>
      <c r="F34">
        <f>AVERAGE(D30:D34)</f>
        <v>43.2</v>
      </c>
      <c r="G34">
        <f>F34-E34</f>
        <v>0.20000000000000284</v>
      </c>
      <c r="H34" s="1">
        <v>38219</v>
      </c>
    </row>
    <row r="35" spans="1:8" ht="12.75">
      <c r="A35" s="1">
        <v>38224</v>
      </c>
      <c r="B35" t="s">
        <v>280</v>
      </c>
      <c r="C35">
        <v>43</v>
      </c>
      <c r="D35">
        <v>44</v>
      </c>
      <c r="E35">
        <f>AVERAGE(C31:C35)</f>
        <v>42.8</v>
      </c>
      <c r="F35">
        <f>AVERAGE(D31:D35)</f>
        <v>42.8</v>
      </c>
      <c r="G35">
        <f>F35-E35</f>
        <v>0</v>
      </c>
      <c r="H35" s="1">
        <v>38222</v>
      </c>
    </row>
    <row r="36" spans="1:8" ht="12.75">
      <c r="A36" s="1">
        <v>38233</v>
      </c>
      <c r="B36" t="s">
        <v>68</v>
      </c>
      <c r="C36">
        <v>44</v>
      </c>
      <c r="D36">
        <v>45</v>
      </c>
      <c r="E36">
        <f>AVERAGE(C32:C36)</f>
        <v>42.6</v>
      </c>
      <c r="F36">
        <f>AVERAGE(D32:D36)</f>
        <v>42.8</v>
      </c>
      <c r="G36">
        <f>F36-E36</f>
        <v>0.19999999999999574</v>
      </c>
      <c r="H36" s="1">
        <v>38231</v>
      </c>
    </row>
    <row r="37" spans="1:8" ht="12.75">
      <c r="A37" s="1">
        <v>38238</v>
      </c>
      <c r="B37" t="s">
        <v>214</v>
      </c>
      <c r="C37">
        <v>51</v>
      </c>
      <c r="D37">
        <v>44</v>
      </c>
      <c r="E37">
        <f>AVERAGE(C33:C37)</f>
        <v>43.2</v>
      </c>
      <c r="F37">
        <f>AVERAGE(D33:D37)</f>
        <v>43</v>
      </c>
      <c r="G37">
        <f>F37-E37</f>
        <v>-0.20000000000000284</v>
      </c>
      <c r="H37" s="1">
        <v>38236</v>
      </c>
    </row>
    <row r="38" spans="1:8" ht="12.75">
      <c r="A38" s="1">
        <v>38241</v>
      </c>
      <c r="B38" t="s">
        <v>103</v>
      </c>
      <c r="C38">
        <v>48</v>
      </c>
      <c r="D38">
        <v>44</v>
      </c>
      <c r="E38">
        <f>AVERAGE(C34:C38)</f>
        <v>45.6</v>
      </c>
      <c r="F38">
        <f>AVERAGE(D34:D38)</f>
        <v>43.6</v>
      </c>
      <c r="G38">
        <f>F38-E38</f>
        <v>-2</v>
      </c>
      <c r="H38" s="1">
        <v>38236</v>
      </c>
    </row>
    <row r="39" spans="1:8" ht="12.75">
      <c r="A39" s="1">
        <v>38240</v>
      </c>
      <c r="B39" t="s">
        <v>280</v>
      </c>
      <c r="C39">
        <v>44</v>
      </c>
      <c r="D39">
        <v>49</v>
      </c>
      <c r="E39">
        <f>AVERAGE(C35:C39)</f>
        <v>46</v>
      </c>
      <c r="F39">
        <f>AVERAGE(D35:D39)</f>
        <v>45.2</v>
      </c>
      <c r="G39">
        <f>F39-E39</f>
        <v>-0.7999999999999972</v>
      </c>
      <c r="H39" s="1">
        <v>38238</v>
      </c>
    </row>
    <row r="40" spans="1:8" ht="12.75">
      <c r="A40" s="1">
        <v>38241</v>
      </c>
      <c r="B40" t="s">
        <v>289</v>
      </c>
      <c r="C40">
        <v>48</v>
      </c>
      <c r="D40">
        <v>47</v>
      </c>
      <c r="E40">
        <f>AVERAGE(C36:C40)</f>
        <v>47</v>
      </c>
      <c r="F40">
        <f>AVERAGE(D36:D40)</f>
        <v>45.8</v>
      </c>
      <c r="G40">
        <f>F40-E40</f>
        <v>-1.2000000000000028</v>
      </c>
      <c r="H40" s="1">
        <v>38239</v>
      </c>
    </row>
    <row r="41" spans="1:8" ht="12.75">
      <c r="A41" s="1">
        <v>38242</v>
      </c>
      <c r="B41" t="s">
        <v>177</v>
      </c>
      <c r="C41">
        <v>48</v>
      </c>
      <c r="D41">
        <v>44</v>
      </c>
      <c r="E41">
        <f>AVERAGE(C37:C41)</f>
        <v>47.8</v>
      </c>
      <c r="F41">
        <f>AVERAGE(D37:D41)</f>
        <v>45.6</v>
      </c>
      <c r="G41">
        <f>F41-E41</f>
        <v>-2.1999999999999957</v>
      </c>
      <c r="H41" s="1">
        <v>38239</v>
      </c>
    </row>
    <row r="42" spans="1:8" ht="12.75">
      <c r="A42" s="1">
        <v>38243</v>
      </c>
      <c r="B42" t="s">
        <v>41</v>
      </c>
      <c r="C42">
        <v>49.8</v>
      </c>
      <c r="D42">
        <v>43.9</v>
      </c>
      <c r="E42">
        <f>AVERAGE(C38:C42)</f>
        <v>47.56</v>
      </c>
      <c r="F42">
        <f>AVERAGE(D38:D42)</f>
        <v>45.58</v>
      </c>
      <c r="G42">
        <f>F42-E42</f>
        <v>-1.980000000000004</v>
      </c>
      <c r="H42" s="1">
        <v>38241</v>
      </c>
    </row>
    <row r="43" spans="1:8" ht="12.75">
      <c r="A43" s="1">
        <v>38244</v>
      </c>
      <c r="B43" t="s">
        <v>144</v>
      </c>
      <c r="C43">
        <v>46</v>
      </c>
      <c r="D43">
        <v>42</v>
      </c>
      <c r="E43">
        <f>AVERAGE(C39:C43)</f>
        <v>47.160000000000004</v>
      </c>
      <c r="F43">
        <f>AVERAGE(D39:D43)</f>
        <v>45.18</v>
      </c>
      <c r="G43">
        <f>F43-E43</f>
        <v>-1.980000000000004</v>
      </c>
      <c r="H43" s="1">
        <v>38242</v>
      </c>
    </row>
    <row r="44" spans="1:8" ht="12.75">
      <c r="A44" s="1">
        <v>38247</v>
      </c>
      <c r="B44" t="s">
        <v>59</v>
      </c>
      <c r="C44">
        <v>50</v>
      </c>
      <c r="D44">
        <v>44</v>
      </c>
      <c r="E44">
        <f>AVERAGE(C40:C44)</f>
        <v>48.36</v>
      </c>
      <c r="F44">
        <f>AVERAGE(D40:D44)</f>
        <v>44.18</v>
      </c>
      <c r="G44">
        <f>F44-E44</f>
        <v>-4.18</v>
      </c>
      <c r="H44" s="1">
        <v>38242</v>
      </c>
    </row>
    <row r="45" spans="1:8" ht="12.75">
      <c r="A45" s="1">
        <v>38245</v>
      </c>
      <c r="B45" t="s">
        <v>126</v>
      </c>
      <c r="C45">
        <v>49</v>
      </c>
      <c r="D45">
        <v>45</v>
      </c>
      <c r="E45">
        <f>AVERAGE(C41:C45)</f>
        <v>48.56</v>
      </c>
      <c r="F45">
        <f>AVERAGE(D41:D45)</f>
        <v>43.78</v>
      </c>
      <c r="G45">
        <f>F45-E45</f>
        <v>-4.780000000000001</v>
      </c>
      <c r="H45" s="1">
        <v>38243</v>
      </c>
    </row>
    <row r="46" spans="1:8" ht="12.75">
      <c r="A46" s="1">
        <v>38245</v>
      </c>
      <c r="B46" t="s">
        <v>169</v>
      </c>
      <c r="C46">
        <v>48</v>
      </c>
      <c r="D46">
        <v>45</v>
      </c>
      <c r="E46">
        <f>AVERAGE(C42:C46)</f>
        <v>48.56</v>
      </c>
      <c r="F46">
        <f>AVERAGE(D42:D46)</f>
        <v>43.980000000000004</v>
      </c>
      <c r="G46">
        <f>F46-E46</f>
        <v>-4.579999999999998</v>
      </c>
      <c r="H46" s="1">
        <v>38243</v>
      </c>
    </row>
    <row r="47" spans="1:8" ht="12.75">
      <c r="A47" s="1">
        <v>38246</v>
      </c>
      <c r="B47" t="s">
        <v>93</v>
      </c>
      <c r="C47">
        <v>48</v>
      </c>
      <c r="D47">
        <v>44</v>
      </c>
      <c r="E47">
        <f>AVERAGE(C43:C47)</f>
        <v>48.2</v>
      </c>
      <c r="F47">
        <f>AVERAGE(D43:D47)</f>
        <v>44</v>
      </c>
      <c r="G47">
        <f>F47-E47</f>
        <v>-4.200000000000003</v>
      </c>
      <c r="H47" s="1">
        <v>38243</v>
      </c>
    </row>
    <row r="48" spans="1:8" ht="12.75">
      <c r="A48" s="1">
        <v>38248</v>
      </c>
      <c r="B48" t="s">
        <v>22</v>
      </c>
      <c r="C48">
        <v>42</v>
      </c>
      <c r="D48">
        <v>41</v>
      </c>
      <c r="E48">
        <f>AVERAGE(C44:C48)</f>
        <v>47.4</v>
      </c>
      <c r="F48">
        <f>AVERAGE(D44:D48)</f>
        <v>43.8</v>
      </c>
      <c r="G48">
        <f>F48-E48</f>
        <v>-3.6000000000000014</v>
      </c>
      <c r="H48" s="1">
        <v>38244</v>
      </c>
    </row>
    <row r="49" spans="1:8" ht="12.75">
      <c r="A49" s="1">
        <v>38249</v>
      </c>
      <c r="B49" t="s">
        <v>57</v>
      </c>
      <c r="C49">
        <v>45</v>
      </c>
      <c r="D49">
        <v>47</v>
      </c>
      <c r="E49">
        <f>AVERAGE(C45:C49)</f>
        <v>46.4</v>
      </c>
      <c r="F49">
        <f>AVERAGE(D45:D49)</f>
        <v>44.4</v>
      </c>
      <c r="G49">
        <f>F49-E49</f>
        <v>-2</v>
      </c>
      <c r="H49" s="1">
        <v>38244</v>
      </c>
    </row>
    <row r="50" spans="1:8" ht="12.75">
      <c r="A50" s="1">
        <v>38247</v>
      </c>
      <c r="B50" t="s">
        <v>109</v>
      </c>
      <c r="C50">
        <v>44</v>
      </c>
      <c r="D50">
        <v>46</v>
      </c>
      <c r="E50">
        <f>AVERAGE(C46:C50)</f>
        <v>45.4</v>
      </c>
      <c r="F50">
        <f>AVERAGE(D46:D50)</f>
        <v>44.6</v>
      </c>
      <c r="G50">
        <f>F50-E50</f>
        <v>-0.7999999999999972</v>
      </c>
      <c r="H50" s="1">
        <v>38245</v>
      </c>
    </row>
    <row r="51" spans="1:8" ht="12.75">
      <c r="A51" s="1">
        <v>38250</v>
      </c>
      <c r="B51" t="s">
        <v>177</v>
      </c>
      <c r="C51">
        <v>48</v>
      </c>
      <c r="D51">
        <v>42</v>
      </c>
      <c r="E51">
        <f>AVERAGE(C47:C51)</f>
        <v>45.4</v>
      </c>
      <c r="F51">
        <f>AVERAGE(D47:D51)</f>
        <v>44</v>
      </c>
      <c r="G51">
        <f>F51-E51</f>
        <v>-1.3999999999999986</v>
      </c>
      <c r="H51" s="1">
        <v>38245</v>
      </c>
    </row>
    <row r="52" spans="1:8" ht="12.75">
      <c r="A52" s="1">
        <v>38248</v>
      </c>
      <c r="B52" t="s">
        <v>26</v>
      </c>
      <c r="C52">
        <v>45</v>
      </c>
      <c r="D52">
        <v>46</v>
      </c>
      <c r="E52">
        <f>AVERAGE(C48:C52)</f>
        <v>44.8</v>
      </c>
      <c r="F52">
        <f>AVERAGE(D48:D52)</f>
        <v>44.4</v>
      </c>
      <c r="G52">
        <f>F52-E52</f>
        <v>-0.3999999999999986</v>
      </c>
      <c r="H52" s="1">
        <v>38246</v>
      </c>
    </row>
    <row r="53" spans="1:8" ht="12.75">
      <c r="A53" s="1">
        <v>38252</v>
      </c>
      <c r="B53" t="s">
        <v>169</v>
      </c>
      <c r="C53">
        <v>50</v>
      </c>
      <c r="D53">
        <v>46</v>
      </c>
      <c r="E53">
        <f>AVERAGE(C49:C53)</f>
        <v>46.4</v>
      </c>
      <c r="F53">
        <f>AVERAGE(D49:D53)</f>
        <v>45.4</v>
      </c>
      <c r="G53">
        <f>F53-E53</f>
        <v>-1</v>
      </c>
      <c r="H53" s="1">
        <v>38250</v>
      </c>
    </row>
    <row r="54" spans="1:8" ht="12.75">
      <c r="A54" s="1">
        <v>38253</v>
      </c>
      <c r="B54" t="s">
        <v>25</v>
      </c>
      <c r="C54">
        <v>46</v>
      </c>
      <c r="D54">
        <v>46</v>
      </c>
      <c r="E54">
        <f>AVERAGE(C50:C54)</f>
        <v>46.6</v>
      </c>
      <c r="F54">
        <f>AVERAGE(D50:D54)</f>
        <v>45.2</v>
      </c>
      <c r="G54">
        <f>F54-E54</f>
        <v>-1.3999999999999986</v>
      </c>
      <c r="H54" s="1">
        <v>38251</v>
      </c>
    </row>
    <row r="55" spans="1:8" ht="12.75">
      <c r="A55" s="1">
        <v>38255</v>
      </c>
      <c r="B55" t="s">
        <v>169</v>
      </c>
      <c r="C55">
        <v>47</v>
      </c>
      <c r="D55">
        <v>46</v>
      </c>
      <c r="E55">
        <f>AVERAGE(C51:C55)</f>
        <v>47.2</v>
      </c>
      <c r="F55">
        <f>AVERAGE(D51:D55)</f>
        <v>45.2</v>
      </c>
      <c r="G55">
        <f>F55-E55</f>
        <v>-2</v>
      </c>
      <c r="H55" s="1">
        <v>38252</v>
      </c>
    </row>
    <row r="56" spans="1:8" ht="12.75">
      <c r="A56" s="1">
        <v>38260</v>
      </c>
      <c r="B56" t="s">
        <v>280</v>
      </c>
      <c r="C56">
        <v>42</v>
      </c>
      <c r="D56">
        <v>49</v>
      </c>
      <c r="E56">
        <f>AVERAGE(C52:C56)</f>
        <v>46</v>
      </c>
      <c r="F56">
        <f>AVERAGE(D52:D56)</f>
        <v>46.6</v>
      </c>
      <c r="G56">
        <f>F56-E56</f>
        <v>0.6000000000000014</v>
      </c>
      <c r="H56" s="1">
        <v>38255</v>
      </c>
    </row>
    <row r="57" spans="1:8" ht="12.75">
      <c r="A57" s="1">
        <v>38259</v>
      </c>
      <c r="B57" t="s">
        <v>214</v>
      </c>
      <c r="C57">
        <v>48</v>
      </c>
      <c r="D57">
        <v>47</v>
      </c>
      <c r="E57">
        <f>AVERAGE(C53:C57)</f>
        <v>46.6</v>
      </c>
      <c r="F57">
        <f>AVERAGE(D53:D57)</f>
        <v>46.8</v>
      </c>
      <c r="G57">
        <f>F57-E57</f>
        <v>0.19999999999999574</v>
      </c>
      <c r="H57" s="1">
        <v>38257</v>
      </c>
    </row>
    <row r="58" spans="1:8" ht="12.75">
      <c r="A58" s="1">
        <v>38260</v>
      </c>
      <c r="B58" t="s">
        <v>126</v>
      </c>
      <c r="C58">
        <v>49</v>
      </c>
      <c r="D58">
        <v>48</v>
      </c>
      <c r="E58">
        <f>AVERAGE(C54:C58)</f>
        <v>46.4</v>
      </c>
      <c r="F58">
        <f>AVERAGE(D54:D58)</f>
        <v>47.2</v>
      </c>
      <c r="G58">
        <f>F58-E58</f>
        <v>0.8000000000000043</v>
      </c>
      <c r="H58" s="1">
        <v>38258</v>
      </c>
    </row>
    <row r="59" spans="1:8" ht="12.75">
      <c r="A59" s="1">
        <v>38260</v>
      </c>
      <c r="B59" t="s">
        <v>280</v>
      </c>
      <c r="C59">
        <v>42</v>
      </c>
      <c r="D59">
        <v>50</v>
      </c>
      <c r="E59">
        <f>AVERAGE(C55:C59)</f>
        <v>45.6</v>
      </c>
      <c r="F59">
        <f>AVERAGE(D55:D59)</f>
        <v>48</v>
      </c>
      <c r="G59">
        <f>F59-E59</f>
        <v>2.3999999999999986</v>
      </c>
      <c r="H59" s="1">
        <v>38258</v>
      </c>
    </row>
    <row r="60" spans="1:8" ht="12.75">
      <c r="A60" s="1">
        <v>38260</v>
      </c>
      <c r="B60" t="s">
        <v>289</v>
      </c>
      <c r="C60">
        <v>45</v>
      </c>
      <c r="D60">
        <v>47</v>
      </c>
      <c r="E60">
        <f>AVERAGE(C56:C60)</f>
        <v>45.2</v>
      </c>
      <c r="F60">
        <f>AVERAGE(D56:D60)</f>
        <v>48.2</v>
      </c>
      <c r="G60">
        <f>F60-E60</f>
        <v>3</v>
      </c>
      <c r="H60" s="1">
        <v>38258</v>
      </c>
    </row>
    <row r="61" spans="1:8" ht="12.75">
      <c r="A61" s="1">
        <v>38262</v>
      </c>
      <c r="B61" t="s">
        <v>67</v>
      </c>
      <c r="C61">
        <v>43</v>
      </c>
      <c r="D61">
        <v>49</v>
      </c>
      <c r="E61">
        <f>AVERAGE(C57:C61)</f>
        <v>45.4</v>
      </c>
      <c r="F61">
        <f>AVERAGE(D57:D61)</f>
        <v>48.2</v>
      </c>
      <c r="G61">
        <f>F61-E61</f>
        <v>2.8000000000000043</v>
      </c>
      <c r="H61" s="1">
        <v>38260</v>
      </c>
    </row>
    <row r="62" spans="1:8" ht="12.75">
      <c r="A62" s="1">
        <v>38264</v>
      </c>
      <c r="B62" t="s">
        <v>128</v>
      </c>
      <c r="C62">
        <v>42</v>
      </c>
      <c r="D62">
        <v>49</v>
      </c>
      <c r="E62">
        <f>AVERAGE(C58:C62)</f>
        <v>44.2</v>
      </c>
      <c r="F62">
        <f>AVERAGE(D58:D62)</f>
        <v>48.6</v>
      </c>
      <c r="G62">
        <f>F62-E62</f>
        <v>4.399999999999999</v>
      </c>
      <c r="H62" s="1">
        <v>38262</v>
      </c>
    </row>
    <row r="63" spans="1:8" ht="12.75">
      <c r="A63" s="1">
        <v>38266</v>
      </c>
      <c r="B63" t="s">
        <v>214</v>
      </c>
      <c r="C63">
        <v>48</v>
      </c>
      <c r="D63">
        <v>47</v>
      </c>
      <c r="E63">
        <f>AVERAGE(C59:C63)</f>
        <v>44</v>
      </c>
      <c r="F63">
        <f>AVERAGE(D59:D63)</f>
        <v>48.4</v>
      </c>
      <c r="G63">
        <f>F63-E63</f>
        <v>4.399999999999999</v>
      </c>
      <c r="H63" s="1">
        <v>38264</v>
      </c>
    </row>
    <row r="64" spans="1:8" ht="12.75">
      <c r="A64" s="1">
        <v>38266</v>
      </c>
      <c r="B64" t="s">
        <v>307</v>
      </c>
      <c r="C64">
        <v>45</v>
      </c>
      <c r="D64">
        <v>51</v>
      </c>
      <c r="E64">
        <f>AVERAGE(C60:C64)</f>
        <v>44.6</v>
      </c>
      <c r="F64">
        <f>AVERAGE(D60:D64)</f>
        <v>48.6</v>
      </c>
      <c r="G64">
        <f>F64-E64</f>
        <v>4</v>
      </c>
      <c r="H64" s="1">
        <v>38264</v>
      </c>
    </row>
    <row r="65" spans="1:8" ht="12.75">
      <c r="A65" s="1">
        <v>38267</v>
      </c>
      <c r="B65" t="s">
        <v>93</v>
      </c>
      <c r="C65">
        <v>43</v>
      </c>
      <c r="D65">
        <v>49</v>
      </c>
      <c r="E65">
        <f>AVERAGE(C61:C65)</f>
        <v>44.2</v>
      </c>
      <c r="F65">
        <f>AVERAGE(D61:D65)</f>
        <v>49</v>
      </c>
      <c r="G65">
        <f>F65-E65</f>
        <v>4.799999999999997</v>
      </c>
      <c r="H65" s="1">
        <v>38264</v>
      </c>
    </row>
    <row r="66" spans="1:8" ht="12.75">
      <c r="A66" s="1">
        <v>38266</v>
      </c>
      <c r="B66" t="s">
        <v>109</v>
      </c>
      <c r="C66">
        <v>45</v>
      </c>
      <c r="D66">
        <v>48</v>
      </c>
      <c r="E66">
        <f>AVERAGE(C62:C66)</f>
        <v>44.6</v>
      </c>
      <c r="F66">
        <f>AVERAGE(D62:D66)</f>
        <v>48.8</v>
      </c>
      <c r="G66">
        <f>F66-E66</f>
        <v>4.199999999999996</v>
      </c>
      <c r="H66" s="1">
        <v>38265</v>
      </c>
    </row>
    <row r="67" spans="1:8" ht="12.75">
      <c r="A67" s="1">
        <v>38269</v>
      </c>
      <c r="B67" t="s">
        <v>59</v>
      </c>
      <c r="C67">
        <v>45</v>
      </c>
      <c r="D67">
        <v>48</v>
      </c>
      <c r="E67">
        <f>AVERAGE(C63:C67)</f>
        <v>45.2</v>
      </c>
      <c r="F67">
        <f>AVERAGE(D63:D67)</f>
        <v>48.6</v>
      </c>
      <c r="G67">
        <f>F67-E67</f>
        <v>3.3999999999999986</v>
      </c>
      <c r="H67" s="1">
        <v>38266</v>
      </c>
    </row>
    <row r="68" spans="1:8" ht="12.75">
      <c r="A68" s="1">
        <v>38269</v>
      </c>
      <c r="B68" t="s">
        <v>103</v>
      </c>
      <c r="C68">
        <v>46</v>
      </c>
      <c r="D68">
        <v>48</v>
      </c>
      <c r="E68">
        <f>AVERAGE(C64:C68)</f>
        <v>44.8</v>
      </c>
      <c r="F68">
        <f>AVERAGE(D64:D68)</f>
        <v>48.8</v>
      </c>
      <c r="G68">
        <f>F68-E68</f>
        <v>4</v>
      </c>
      <c r="H68" s="1">
        <v>38267</v>
      </c>
    </row>
    <row r="69" spans="1:8" ht="12.75">
      <c r="A69" s="1">
        <v>38271</v>
      </c>
      <c r="B69" t="s">
        <v>177</v>
      </c>
      <c r="C69">
        <v>48</v>
      </c>
      <c r="D69">
        <v>46</v>
      </c>
      <c r="E69">
        <f>AVERAGE(C65:C69)</f>
        <v>45.4</v>
      </c>
      <c r="F69">
        <f>AVERAGE(D65:D69)</f>
        <v>47.8</v>
      </c>
      <c r="G69">
        <f>F69-E69</f>
        <v>2.3999999999999986</v>
      </c>
      <c r="H69" s="1">
        <v>38267</v>
      </c>
    </row>
    <row r="70" spans="1:8" ht="12.75">
      <c r="A70" s="1">
        <v>38273</v>
      </c>
      <c r="B70" t="s">
        <v>57</v>
      </c>
      <c r="C70">
        <v>45</v>
      </c>
      <c r="D70">
        <v>49</v>
      </c>
      <c r="E70">
        <f>AVERAGE(C66:C70)</f>
        <v>45.8</v>
      </c>
      <c r="F70">
        <f>AVERAGE(D66:D70)</f>
        <v>47.8</v>
      </c>
      <c r="G70">
        <f>F70-E70</f>
        <v>2</v>
      </c>
      <c r="H70" s="1">
        <v>38267</v>
      </c>
    </row>
    <row r="71" spans="1:8" ht="12.75">
      <c r="A71" s="1">
        <v>38270</v>
      </c>
      <c r="B71" t="s">
        <v>289</v>
      </c>
      <c r="C71">
        <v>44</v>
      </c>
      <c r="D71">
        <v>49</v>
      </c>
      <c r="E71">
        <f>AVERAGE(C67:C71)</f>
        <v>45.6</v>
      </c>
      <c r="F71">
        <f>AVERAGE(D67:D71)</f>
        <v>48</v>
      </c>
      <c r="G71">
        <f>F71-E71</f>
        <v>2.3999999999999986</v>
      </c>
      <c r="H71" s="1">
        <v>38268</v>
      </c>
    </row>
    <row r="72" spans="1:8" ht="12.75">
      <c r="A72" s="1">
        <v>38273</v>
      </c>
      <c r="B72" t="s">
        <v>214</v>
      </c>
      <c r="C72">
        <v>47</v>
      </c>
      <c r="D72">
        <v>49</v>
      </c>
      <c r="E72">
        <f>AVERAGE(C68:C72)</f>
        <v>46</v>
      </c>
      <c r="F72">
        <f>AVERAGE(D68:D72)</f>
        <v>48.2</v>
      </c>
      <c r="G72">
        <f>F72-E72</f>
        <v>2.200000000000003</v>
      </c>
      <c r="H72" s="1">
        <v>38271</v>
      </c>
    </row>
    <row r="73" spans="1:8" ht="12.75">
      <c r="A73" s="1">
        <v>38274</v>
      </c>
      <c r="B73" t="s">
        <v>126</v>
      </c>
      <c r="C73">
        <v>45</v>
      </c>
      <c r="D73">
        <v>50</v>
      </c>
      <c r="E73">
        <f>AVERAGE(C69:C73)</f>
        <v>45.8</v>
      </c>
      <c r="F73">
        <f>AVERAGE(D69:D73)</f>
        <v>48.6</v>
      </c>
      <c r="G73">
        <f>F73-E73</f>
        <v>2.8000000000000043</v>
      </c>
      <c r="H73" s="1">
        <v>38272</v>
      </c>
    </row>
    <row r="74" spans="1:8" ht="12.75">
      <c r="A74" s="1">
        <v>38276</v>
      </c>
      <c r="B74" t="s">
        <v>41</v>
      </c>
      <c r="C74">
        <v>49.5</v>
      </c>
      <c r="D74">
        <v>44.8</v>
      </c>
      <c r="E74">
        <f>AVERAGE(C70:C74)</f>
        <v>46.1</v>
      </c>
      <c r="F74">
        <f>AVERAGE(D70:D74)</f>
        <v>48.36</v>
      </c>
      <c r="G74">
        <f>F74-E74</f>
        <v>2.259999999999998</v>
      </c>
      <c r="H74" s="1">
        <v>38272</v>
      </c>
    </row>
    <row r="75" spans="1:11" ht="12.75">
      <c r="A75" s="1">
        <v>38276</v>
      </c>
      <c r="B75" t="s">
        <v>169</v>
      </c>
      <c r="C75">
        <v>49</v>
      </c>
      <c r="D75">
        <v>49</v>
      </c>
      <c r="E75">
        <f>AVERAGE(C71:C75)</f>
        <v>46.9</v>
      </c>
      <c r="F75">
        <f>AVERAGE(D71:D75)</f>
        <v>48.36</v>
      </c>
      <c r="G75">
        <f>F75-E75</f>
        <v>1.4600000000000009</v>
      </c>
      <c r="H75" s="1">
        <v>38273</v>
      </c>
      <c r="I75">
        <f>AVERAGE(C68:C75)</f>
        <v>46.6875</v>
      </c>
      <c r="J75">
        <f>AVERAGE(D68:D75)</f>
        <v>48.1</v>
      </c>
      <c r="K75">
        <f>J75-I75</f>
        <v>1.4125000000000014</v>
      </c>
    </row>
    <row r="76" spans="1:8" ht="12.75">
      <c r="A76" s="1">
        <v>38278</v>
      </c>
      <c r="B76" t="s">
        <v>89</v>
      </c>
      <c r="C76">
        <v>46</v>
      </c>
      <c r="D76">
        <v>45</v>
      </c>
      <c r="E76">
        <f>AVERAGE(C72:C76)</f>
        <v>47.3</v>
      </c>
      <c r="F76">
        <f>AVERAGE(D72:D76)</f>
        <v>47.56</v>
      </c>
      <c r="G76">
        <f>F76-E76</f>
        <v>0.2600000000000051</v>
      </c>
      <c r="H76" s="1">
        <v>38276</v>
      </c>
    </row>
    <row r="77" spans="1:8" ht="12.75">
      <c r="A77" s="1">
        <v>38280</v>
      </c>
      <c r="B77" t="s">
        <v>144</v>
      </c>
      <c r="C77">
        <v>42</v>
      </c>
      <c r="D77">
        <v>51</v>
      </c>
      <c r="E77">
        <f>AVERAGE(C73:C77)</f>
        <v>46.3</v>
      </c>
      <c r="F77">
        <f>AVERAGE(D73:D77)</f>
        <v>47.96</v>
      </c>
      <c r="G77">
        <f>F77-E77</f>
        <v>1.6600000000000037</v>
      </c>
      <c r="H77" s="1">
        <v>38278</v>
      </c>
    </row>
    <row r="78" spans="1:8" ht="12.75">
      <c r="A78" s="1">
        <v>38280</v>
      </c>
      <c r="B78" t="s">
        <v>214</v>
      </c>
      <c r="C78">
        <v>49</v>
      </c>
      <c r="D78">
        <v>47</v>
      </c>
      <c r="E78">
        <f>AVERAGE(C74:C78)</f>
        <v>47.1</v>
      </c>
      <c r="F78">
        <f>AVERAGE(D74:D78)</f>
        <v>47.36</v>
      </c>
      <c r="G78">
        <f>F78-E78</f>
        <v>0.259999999999998</v>
      </c>
      <c r="H78" s="1">
        <v>38278</v>
      </c>
    </row>
    <row r="79" spans="1:8" ht="12.75">
      <c r="A79" s="1">
        <v>38281</v>
      </c>
      <c r="B79" t="s">
        <v>41</v>
      </c>
      <c r="C79">
        <v>49</v>
      </c>
      <c r="D79">
        <v>47</v>
      </c>
      <c r="E79">
        <f>AVERAGE(C75:C79)</f>
        <v>47</v>
      </c>
      <c r="F79">
        <f>AVERAGE(D75:D79)</f>
        <v>47.8</v>
      </c>
      <c r="G79">
        <f>F79-E79</f>
        <v>0.7999999999999972</v>
      </c>
      <c r="H79" s="1">
        <v>38279</v>
      </c>
    </row>
    <row r="80" spans="1:8" ht="12.75">
      <c r="A80" s="1">
        <v>38282</v>
      </c>
      <c r="B80" t="s">
        <v>109</v>
      </c>
      <c r="C80">
        <v>46</v>
      </c>
      <c r="D80">
        <v>50</v>
      </c>
      <c r="E80">
        <f>AVERAGE(C76:C80)</f>
        <v>46.4</v>
      </c>
      <c r="F80">
        <f>AVERAGE(D76:D80)</f>
        <v>48</v>
      </c>
      <c r="G80">
        <f>F80-E80</f>
        <v>1.6000000000000014</v>
      </c>
      <c r="H80" s="1">
        <v>38280</v>
      </c>
    </row>
    <row r="81" spans="1:8" ht="12.75">
      <c r="A81" s="1">
        <v>38282</v>
      </c>
      <c r="B81" t="s">
        <v>280</v>
      </c>
      <c r="C81">
        <v>38</v>
      </c>
      <c r="D81">
        <v>52</v>
      </c>
      <c r="E81">
        <f>AVERAGE(C77:C81)</f>
        <v>44.8</v>
      </c>
      <c r="F81">
        <f>AVERAGE(D77:D81)</f>
        <v>49.4</v>
      </c>
      <c r="G81">
        <f>F81-E81</f>
        <v>4.600000000000001</v>
      </c>
      <c r="H81" s="1">
        <v>38280</v>
      </c>
    </row>
    <row r="82" spans="1:8" ht="12.75">
      <c r="A82" s="1">
        <v>38282</v>
      </c>
      <c r="B82" t="s">
        <v>296</v>
      </c>
      <c r="C82">
        <v>41</v>
      </c>
      <c r="D82">
        <v>53</v>
      </c>
      <c r="E82">
        <f>AVERAGE(C78:C82)</f>
        <v>44.6</v>
      </c>
      <c r="F82">
        <f>AVERAGE(D78:D82)</f>
        <v>49.8</v>
      </c>
      <c r="G82">
        <f>F82-E82</f>
        <v>5.199999999999996</v>
      </c>
      <c r="H82" s="1">
        <v>38281</v>
      </c>
    </row>
    <row r="83" spans="1:8" ht="12.75">
      <c r="A83" s="1">
        <v>38283</v>
      </c>
      <c r="B83" t="s">
        <v>292</v>
      </c>
      <c r="C83">
        <v>42</v>
      </c>
      <c r="D83">
        <v>52</v>
      </c>
      <c r="E83">
        <f>AVERAGE(C79:C83)</f>
        <v>43.2</v>
      </c>
      <c r="F83">
        <f>AVERAGE(D79:D83)</f>
        <v>50.8</v>
      </c>
      <c r="G83">
        <f>F83-E83</f>
        <v>7.599999999999994</v>
      </c>
      <c r="H83" s="1">
        <v>38281</v>
      </c>
    </row>
    <row r="84" spans="1:8" ht="12.75">
      <c r="A84" s="1">
        <v>38283</v>
      </c>
      <c r="B84" t="s">
        <v>103</v>
      </c>
      <c r="C84">
        <v>48</v>
      </c>
      <c r="D84">
        <v>45</v>
      </c>
      <c r="E84">
        <f>AVERAGE(C80:C84)</f>
        <v>43</v>
      </c>
      <c r="F84">
        <f>AVERAGE(D80:D84)</f>
        <v>50.4</v>
      </c>
      <c r="G84">
        <f>F84-E84</f>
        <v>7.399999999999999</v>
      </c>
      <c r="H84" s="1">
        <v>38281</v>
      </c>
    </row>
    <row r="85" spans="1:8" ht="12.75">
      <c r="A85" s="1">
        <v>38285</v>
      </c>
      <c r="B85" t="s">
        <v>177</v>
      </c>
      <c r="C85">
        <v>46</v>
      </c>
      <c r="D85">
        <v>49</v>
      </c>
      <c r="E85">
        <f>AVERAGE(C81:C85)</f>
        <v>43</v>
      </c>
      <c r="F85">
        <f>AVERAGE(D81:D85)</f>
        <v>50.2</v>
      </c>
      <c r="G85">
        <f>F85-E85</f>
        <v>7.200000000000003</v>
      </c>
      <c r="H85" s="1">
        <v>38281</v>
      </c>
    </row>
    <row r="86" spans="1:8" ht="12.75">
      <c r="A86" s="1">
        <v>38284</v>
      </c>
      <c r="B86" t="s">
        <v>93</v>
      </c>
      <c r="C86">
        <v>44</v>
      </c>
      <c r="D86">
        <v>51</v>
      </c>
      <c r="E86">
        <f>AVERAGE(C82:C86)</f>
        <v>44.2</v>
      </c>
      <c r="F86">
        <f>AVERAGE(D82:D86)</f>
        <v>50</v>
      </c>
      <c r="G86">
        <f>F86-E86</f>
        <v>5.799999999999997</v>
      </c>
      <c r="H86" s="1">
        <v>38282</v>
      </c>
    </row>
    <row r="87" spans="1:8" ht="12.75">
      <c r="A87" s="1">
        <v>38292</v>
      </c>
      <c r="B87" t="s">
        <v>11</v>
      </c>
      <c r="C87">
        <v>41</v>
      </c>
      <c r="D87">
        <v>57</v>
      </c>
      <c r="E87">
        <f>AVERAGE(C83:C87)</f>
        <v>44.2</v>
      </c>
      <c r="F87">
        <f>AVERAGE(D83:D87)</f>
        <v>50.8</v>
      </c>
      <c r="G87">
        <f>F87-E87</f>
        <v>6.599999999999994</v>
      </c>
      <c r="H87" s="1">
        <v>38282</v>
      </c>
    </row>
    <row r="88" spans="1:8" ht="12.75">
      <c r="A88" s="1">
        <v>38287</v>
      </c>
      <c r="B88" t="s">
        <v>169</v>
      </c>
      <c r="C88">
        <v>45</v>
      </c>
      <c r="D88">
        <v>49</v>
      </c>
      <c r="E88">
        <f>AVERAGE(C84:C88)</f>
        <v>44.8</v>
      </c>
      <c r="F88">
        <f>AVERAGE(D84:D88)</f>
        <v>50.2</v>
      </c>
      <c r="G88">
        <f>F88-E88</f>
        <v>5.400000000000006</v>
      </c>
      <c r="H88" s="1">
        <v>38285</v>
      </c>
    </row>
    <row r="89" spans="1:8" ht="12.75">
      <c r="A89" s="1">
        <v>38287</v>
      </c>
      <c r="B89" t="s">
        <v>0</v>
      </c>
      <c r="C89">
        <v>45</v>
      </c>
      <c r="D89">
        <v>50</v>
      </c>
      <c r="E89">
        <f>AVERAGE(C85:C89)</f>
        <v>44.2</v>
      </c>
      <c r="F89">
        <f>AVERAGE(D85:D89)</f>
        <v>51.2</v>
      </c>
      <c r="G89">
        <f>F89-E89</f>
        <v>7</v>
      </c>
      <c r="H89" s="1">
        <v>38285</v>
      </c>
    </row>
    <row r="90" spans="1:8" ht="12.75">
      <c r="A90" s="1">
        <v>38288</v>
      </c>
      <c r="B90" t="s">
        <v>280</v>
      </c>
      <c r="C90">
        <v>42</v>
      </c>
      <c r="D90">
        <v>51</v>
      </c>
      <c r="E90">
        <f>AVERAGE(C86:C90)</f>
        <v>43.4</v>
      </c>
      <c r="F90">
        <f>AVERAGE(D86:D90)</f>
        <v>51.6</v>
      </c>
      <c r="G90">
        <f>F90-E90</f>
        <v>8.200000000000003</v>
      </c>
      <c r="H90" s="1">
        <v>38285</v>
      </c>
    </row>
    <row r="91" spans="1:8" ht="12.75">
      <c r="A91" s="1">
        <v>38288</v>
      </c>
      <c r="B91" t="s">
        <v>4</v>
      </c>
      <c r="C91">
        <v>41</v>
      </c>
      <c r="D91">
        <v>48</v>
      </c>
      <c r="E91">
        <f>AVERAGE(C87:C91)</f>
        <v>42.8</v>
      </c>
      <c r="F91">
        <f>AVERAGE(D87:D91)</f>
        <v>51</v>
      </c>
      <c r="G91">
        <f>F91-E91</f>
        <v>8.200000000000003</v>
      </c>
      <c r="H91" s="1">
        <v>38285</v>
      </c>
    </row>
    <row r="92" spans="1:8" ht="12.75">
      <c r="A92" s="1">
        <v>38289</v>
      </c>
      <c r="B92" t="s">
        <v>57</v>
      </c>
      <c r="C92">
        <v>45</v>
      </c>
      <c r="D92">
        <v>48</v>
      </c>
      <c r="E92">
        <f>AVERAGE(C88:C92)</f>
        <v>43.6</v>
      </c>
      <c r="F92">
        <f>AVERAGE(D88:D92)</f>
        <v>49.2</v>
      </c>
      <c r="G92">
        <f>F92-E92</f>
        <v>5.600000000000001</v>
      </c>
      <c r="H92" s="1">
        <v>38285</v>
      </c>
    </row>
    <row r="93" spans="1:8" ht="12.75">
      <c r="A93" s="1">
        <v>38290</v>
      </c>
      <c r="B93" t="s">
        <v>214</v>
      </c>
      <c r="C93">
        <v>45</v>
      </c>
      <c r="D93">
        <v>49</v>
      </c>
      <c r="E93">
        <f>AVERAGE(C89:C93)</f>
        <v>43.6</v>
      </c>
      <c r="F93">
        <f>AVERAGE(D89:D93)</f>
        <v>49.2</v>
      </c>
      <c r="G93">
        <f>F93-E93</f>
        <v>5.600000000000001</v>
      </c>
      <c r="H93" s="1">
        <v>38285</v>
      </c>
    </row>
    <row r="94" spans="1:8" ht="12.75">
      <c r="A94" s="1">
        <v>38288</v>
      </c>
      <c r="B94" t="s">
        <v>3</v>
      </c>
      <c r="C94">
        <v>40</v>
      </c>
      <c r="D94">
        <v>49</v>
      </c>
      <c r="E94">
        <f>AVERAGE(C90:C94)</f>
        <v>42.6</v>
      </c>
      <c r="F94">
        <f>AVERAGE(D90:D94)</f>
        <v>49</v>
      </c>
      <c r="G94">
        <f>F94-E94</f>
        <v>6.399999999999999</v>
      </c>
      <c r="H94" s="1">
        <v>38286</v>
      </c>
    </row>
    <row r="95" spans="1:8" ht="12.75">
      <c r="A95" s="1">
        <v>38288</v>
      </c>
      <c r="B95" t="s">
        <v>126</v>
      </c>
      <c r="C95">
        <v>45</v>
      </c>
      <c r="D95">
        <v>49</v>
      </c>
      <c r="E95">
        <f>AVERAGE(C91:C95)</f>
        <v>43.2</v>
      </c>
      <c r="F95">
        <f>AVERAGE(D91:D95)</f>
        <v>48.6</v>
      </c>
      <c r="G95">
        <f>F95-E95</f>
        <v>5.399999999999999</v>
      </c>
      <c r="H95" s="1">
        <v>38286</v>
      </c>
    </row>
    <row r="96" spans="1:8" ht="12.75">
      <c r="A96" s="1">
        <v>38290</v>
      </c>
      <c r="B96" t="s">
        <v>22</v>
      </c>
      <c r="C96">
        <v>41</v>
      </c>
      <c r="D96">
        <v>48</v>
      </c>
      <c r="E96">
        <f>AVERAGE(C92:C96)</f>
        <v>43.2</v>
      </c>
      <c r="F96">
        <f>AVERAGE(D92:D96)</f>
        <v>48.6</v>
      </c>
      <c r="G96">
        <f>F96-E96</f>
        <v>5.399999999999999</v>
      </c>
      <c r="H96" s="1">
        <v>38286</v>
      </c>
    </row>
    <row r="97" spans="1:8" ht="12.75">
      <c r="A97" s="1">
        <v>38289</v>
      </c>
      <c r="B97" t="s">
        <v>109</v>
      </c>
      <c r="C97">
        <v>47</v>
      </c>
      <c r="D97">
        <v>51</v>
      </c>
      <c r="E97">
        <f>AVERAGE(C93:C97)</f>
        <v>43.6</v>
      </c>
      <c r="F97">
        <f>AVERAGE(D93:D97)</f>
        <v>49.2</v>
      </c>
      <c r="G97">
        <f>F97-E97</f>
        <v>5.600000000000001</v>
      </c>
      <c r="H97" s="1">
        <v>38287</v>
      </c>
    </row>
    <row r="98" spans="1:8" ht="12.75">
      <c r="A98" s="1">
        <v>38292</v>
      </c>
      <c r="B98" t="s">
        <v>303</v>
      </c>
      <c r="C98">
        <v>47</v>
      </c>
      <c r="D98">
        <v>45</v>
      </c>
      <c r="E98">
        <f>AVERAGE(C94:C98)</f>
        <v>44</v>
      </c>
      <c r="F98">
        <f>AVERAGE(D94:D98)</f>
        <v>48.4</v>
      </c>
      <c r="G98">
        <f>F98-E98</f>
        <v>4.399999999999999</v>
      </c>
      <c r="H98" s="1">
        <v>38288</v>
      </c>
    </row>
    <row r="99" spans="1:8" ht="12.75">
      <c r="A99" s="1">
        <v>38292</v>
      </c>
      <c r="B99" t="s">
        <v>128</v>
      </c>
      <c r="C99">
        <v>46</v>
      </c>
      <c r="D99">
        <v>52</v>
      </c>
      <c r="E99">
        <f>AVERAGE(C95:C99)</f>
        <v>45.2</v>
      </c>
      <c r="F99">
        <f>AVERAGE(D95:D99)</f>
        <v>49</v>
      </c>
      <c r="G99">
        <f>F99-E99</f>
        <v>3.799999999999997</v>
      </c>
      <c r="H99" s="1">
        <v>38290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3:H24"/>
  <sheetViews>
    <sheetView zoomScalePageLayoutView="0" workbookViewId="0" topLeftCell="A1">
      <selection activeCell="C20" sqref="C20"/>
    </sheetView>
  </sheetViews>
  <sheetFormatPr defaultColWidth="11.00390625" defaultRowHeight="12.75"/>
  <sheetData>
    <row r="3" spans="3:7" ht="12.75">
      <c r="C3" s="3" t="s">
        <v>76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38121</v>
      </c>
      <c r="B5" t="s">
        <v>131</v>
      </c>
      <c r="C5">
        <v>62</v>
      </c>
      <c r="D5">
        <v>26</v>
      </c>
      <c r="E5">
        <f aca="true" t="shared" si="0" ref="E5:E24">AVERAGE(C1:C5)</f>
        <v>62</v>
      </c>
      <c r="F5">
        <f aca="true" t="shared" si="1" ref="F5:F24">AVERAGE(D1:D5)</f>
        <v>26</v>
      </c>
      <c r="G5">
        <f aca="true" t="shared" si="2" ref="G5:G24">F5-E5</f>
        <v>-36</v>
      </c>
      <c r="H5" s="1">
        <v>37973</v>
      </c>
    </row>
    <row r="6" spans="1:8" ht="12.75">
      <c r="A6" s="1">
        <v>38121</v>
      </c>
      <c r="B6" t="s">
        <v>131</v>
      </c>
      <c r="C6">
        <v>58</v>
      </c>
      <c r="D6">
        <v>30</v>
      </c>
      <c r="E6">
        <f t="shared" si="0"/>
        <v>60</v>
      </c>
      <c r="F6">
        <f t="shared" si="1"/>
        <v>28</v>
      </c>
      <c r="G6">
        <f t="shared" si="2"/>
        <v>-32</v>
      </c>
      <c r="H6" s="1">
        <v>38015</v>
      </c>
    </row>
    <row r="7" spans="1:8" ht="12.75">
      <c r="A7" s="1">
        <v>38051</v>
      </c>
      <c r="B7" t="s">
        <v>126</v>
      </c>
      <c r="C7">
        <v>57</v>
      </c>
      <c r="D7">
        <v>34</v>
      </c>
      <c r="E7">
        <f t="shared" si="0"/>
        <v>59</v>
      </c>
      <c r="F7">
        <f t="shared" si="1"/>
        <v>30</v>
      </c>
      <c r="G7">
        <f t="shared" si="2"/>
        <v>-29</v>
      </c>
      <c r="H7" s="1">
        <v>38044</v>
      </c>
    </row>
    <row r="8" spans="1:8" ht="12.75">
      <c r="A8" s="1">
        <v>38121</v>
      </c>
      <c r="B8" t="s">
        <v>130</v>
      </c>
      <c r="C8">
        <v>62</v>
      </c>
      <c r="D8">
        <v>21</v>
      </c>
      <c r="E8">
        <f t="shared" si="0"/>
        <v>59.75</v>
      </c>
      <c r="F8">
        <f t="shared" si="1"/>
        <v>27.75</v>
      </c>
      <c r="G8">
        <f t="shared" si="2"/>
        <v>-32</v>
      </c>
      <c r="H8" s="1">
        <v>38086</v>
      </c>
    </row>
    <row r="9" spans="1:8" ht="12.75">
      <c r="A9" s="1">
        <v>38151</v>
      </c>
      <c r="B9" t="s">
        <v>208</v>
      </c>
      <c r="C9">
        <v>52</v>
      </c>
      <c r="D9">
        <v>38</v>
      </c>
      <c r="E9">
        <f t="shared" si="0"/>
        <v>58.2</v>
      </c>
      <c r="F9">
        <f t="shared" si="1"/>
        <v>29.8</v>
      </c>
      <c r="G9">
        <f t="shared" si="2"/>
        <v>-28.400000000000002</v>
      </c>
      <c r="H9" s="1">
        <v>38148</v>
      </c>
    </row>
    <row r="10" spans="1:8" ht="12.75">
      <c r="A10" s="1">
        <v>38176</v>
      </c>
      <c r="B10" t="s">
        <v>239</v>
      </c>
      <c r="C10">
        <v>42</v>
      </c>
      <c r="D10">
        <v>37</v>
      </c>
      <c r="E10">
        <f t="shared" si="0"/>
        <v>54.2</v>
      </c>
      <c r="F10">
        <f t="shared" si="1"/>
        <v>32</v>
      </c>
      <c r="G10">
        <f t="shared" si="2"/>
        <v>-22.200000000000003</v>
      </c>
      <c r="H10" s="1">
        <v>38167</v>
      </c>
    </row>
    <row r="11" spans="1:8" ht="12.75">
      <c r="A11" s="1">
        <v>38202</v>
      </c>
      <c r="B11" t="s">
        <v>131</v>
      </c>
      <c r="C11">
        <v>56</v>
      </c>
      <c r="D11">
        <v>24</v>
      </c>
      <c r="E11">
        <f t="shared" si="0"/>
        <v>53.8</v>
      </c>
      <c r="F11">
        <f t="shared" si="1"/>
        <v>30.8</v>
      </c>
      <c r="G11">
        <f t="shared" si="2"/>
        <v>-22.999999999999996</v>
      </c>
      <c r="H11" s="1">
        <v>38190</v>
      </c>
    </row>
    <row r="12" spans="1:8" ht="12.75">
      <c r="A12" s="1">
        <v>38239</v>
      </c>
      <c r="B12" t="s">
        <v>126</v>
      </c>
      <c r="C12">
        <v>65</v>
      </c>
      <c r="D12">
        <v>32</v>
      </c>
      <c r="E12">
        <f t="shared" si="0"/>
        <v>55.4</v>
      </c>
      <c r="F12">
        <f t="shared" si="1"/>
        <v>30.4</v>
      </c>
      <c r="G12">
        <f t="shared" si="2"/>
        <v>-25</v>
      </c>
      <c r="H12" s="1">
        <v>38236</v>
      </c>
    </row>
    <row r="13" spans="1:8" ht="12.75">
      <c r="A13" s="1">
        <v>38242</v>
      </c>
      <c r="B13" t="s">
        <v>169</v>
      </c>
      <c r="C13">
        <v>63</v>
      </c>
      <c r="D13">
        <v>32</v>
      </c>
      <c r="E13">
        <f t="shared" si="0"/>
        <v>55.6</v>
      </c>
      <c r="F13">
        <f t="shared" si="1"/>
        <v>32.6</v>
      </c>
      <c r="G13">
        <f t="shared" si="2"/>
        <v>-23</v>
      </c>
      <c r="H13" s="1">
        <v>38240</v>
      </c>
    </row>
    <row r="14" spans="1:8" ht="12.75">
      <c r="A14" s="1">
        <v>38249</v>
      </c>
      <c r="B14" t="s">
        <v>59</v>
      </c>
      <c r="C14">
        <v>61</v>
      </c>
      <c r="D14">
        <v>34</v>
      </c>
      <c r="E14">
        <f t="shared" si="0"/>
        <v>57.4</v>
      </c>
      <c r="F14">
        <f t="shared" si="1"/>
        <v>31.8</v>
      </c>
      <c r="G14">
        <f t="shared" si="2"/>
        <v>-25.599999999999998</v>
      </c>
      <c r="H14" s="1">
        <v>38247</v>
      </c>
    </row>
    <row r="15" spans="1:8" ht="12.75">
      <c r="A15" s="1">
        <v>38250</v>
      </c>
      <c r="B15" t="s">
        <v>58</v>
      </c>
      <c r="C15">
        <v>59</v>
      </c>
      <c r="D15">
        <v>36</v>
      </c>
      <c r="E15">
        <f t="shared" si="0"/>
        <v>60.8</v>
      </c>
      <c r="F15">
        <f t="shared" si="1"/>
        <v>31.6</v>
      </c>
      <c r="G15">
        <f t="shared" si="2"/>
        <v>-29.199999999999996</v>
      </c>
      <c r="H15" s="1">
        <v>38247</v>
      </c>
    </row>
    <row r="16" spans="1:8" ht="12.75">
      <c r="A16" s="1">
        <v>38268</v>
      </c>
      <c r="B16" t="s">
        <v>166</v>
      </c>
      <c r="C16">
        <v>66</v>
      </c>
      <c r="D16">
        <v>26</v>
      </c>
      <c r="E16">
        <f t="shared" si="0"/>
        <v>62.8</v>
      </c>
      <c r="F16">
        <f t="shared" si="1"/>
        <v>32</v>
      </c>
      <c r="G16">
        <f t="shared" si="2"/>
        <v>-30.799999999999997</v>
      </c>
      <c r="H16" s="1">
        <v>38251</v>
      </c>
    </row>
    <row r="17" spans="1:8" ht="12.75">
      <c r="A17" s="1">
        <v>38268</v>
      </c>
      <c r="B17" t="s">
        <v>166</v>
      </c>
      <c r="C17">
        <v>68</v>
      </c>
      <c r="D17">
        <v>27</v>
      </c>
      <c r="E17">
        <f t="shared" si="0"/>
        <v>63.4</v>
      </c>
      <c r="F17">
        <f t="shared" si="1"/>
        <v>31</v>
      </c>
      <c r="G17">
        <f t="shared" si="2"/>
        <v>-32.4</v>
      </c>
      <c r="H17" s="1">
        <v>38257</v>
      </c>
    </row>
    <row r="18" spans="1:8" ht="12.75">
      <c r="A18" s="1">
        <v>38260</v>
      </c>
      <c r="B18" t="s">
        <v>126</v>
      </c>
      <c r="C18">
        <v>64</v>
      </c>
      <c r="D18">
        <v>34</v>
      </c>
      <c r="E18">
        <f t="shared" si="0"/>
        <v>63.6</v>
      </c>
      <c r="F18">
        <f t="shared" si="1"/>
        <v>31.4</v>
      </c>
      <c r="G18">
        <f t="shared" si="2"/>
        <v>-32.2</v>
      </c>
      <c r="H18" s="1">
        <v>38258</v>
      </c>
    </row>
    <row r="19" spans="1:8" ht="12.75">
      <c r="A19" s="1">
        <v>38267</v>
      </c>
      <c r="B19" t="s">
        <v>166</v>
      </c>
      <c r="C19">
        <v>66</v>
      </c>
      <c r="D19">
        <v>29</v>
      </c>
      <c r="E19">
        <f t="shared" si="0"/>
        <v>64.6</v>
      </c>
      <c r="F19">
        <f t="shared" si="1"/>
        <v>30.4</v>
      </c>
      <c r="G19">
        <f t="shared" si="2"/>
        <v>-34.199999999999996</v>
      </c>
      <c r="H19" s="1">
        <v>38264</v>
      </c>
    </row>
    <row r="20" spans="1:8" ht="12.75">
      <c r="A20" s="1">
        <v>38273</v>
      </c>
      <c r="B20" t="s">
        <v>166</v>
      </c>
      <c r="C20">
        <v>63</v>
      </c>
      <c r="D20">
        <v>32</v>
      </c>
      <c r="E20">
        <f t="shared" si="0"/>
        <v>65.4</v>
      </c>
      <c r="F20">
        <f t="shared" si="1"/>
        <v>29.6</v>
      </c>
      <c r="G20">
        <f t="shared" si="2"/>
        <v>-35.800000000000004</v>
      </c>
      <c r="H20" s="1">
        <v>38271</v>
      </c>
    </row>
    <row r="21" spans="1:8" ht="12.75">
      <c r="A21" s="1">
        <v>38280</v>
      </c>
      <c r="B21" t="s">
        <v>126</v>
      </c>
      <c r="C21">
        <v>59</v>
      </c>
      <c r="D21">
        <v>35</v>
      </c>
      <c r="E21">
        <f t="shared" si="0"/>
        <v>64</v>
      </c>
      <c r="F21">
        <f t="shared" si="1"/>
        <v>31.4</v>
      </c>
      <c r="G21">
        <f t="shared" si="2"/>
        <v>-32.6</v>
      </c>
      <c r="H21" s="1">
        <v>38278</v>
      </c>
    </row>
    <row r="22" spans="1:8" ht="12.75">
      <c r="A22" s="1">
        <v>38281</v>
      </c>
      <c r="B22" t="s">
        <v>166</v>
      </c>
      <c r="C22">
        <v>64</v>
      </c>
      <c r="D22">
        <v>32</v>
      </c>
      <c r="E22">
        <f t="shared" si="0"/>
        <v>63.2</v>
      </c>
      <c r="F22">
        <f t="shared" si="1"/>
        <v>32.4</v>
      </c>
      <c r="G22">
        <f t="shared" si="2"/>
        <v>-30.800000000000004</v>
      </c>
      <c r="H22" s="1">
        <v>38279</v>
      </c>
    </row>
    <row r="23" spans="1:8" ht="12.75">
      <c r="A23" s="1">
        <v>38287</v>
      </c>
      <c r="B23" t="s">
        <v>166</v>
      </c>
      <c r="C23">
        <v>62</v>
      </c>
      <c r="D23">
        <v>35</v>
      </c>
      <c r="E23">
        <f t="shared" si="0"/>
        <v>62.8</v>
      </c>
      <c r="F23">
        <f t="shared" si="1"/>
        <v>32.6</v>
      </c>
      <c r="G23">
        <f t="shared" si="2"/>
        <v>-30.199999999999996</v>
      </c>
      <c r="H23" s="1">
        <v>38285</v>
      </c>
    </row>
    <row r="24" spans="1:8" ht="12.75">
      <c r="A24" s="1">
        <v>38290</v>
      </c>
      <c r="B24" t="s">
        <v>126</v>
      </c>
      <c r="C24">
        <v>63</v>
      </c>
      <c r="D24">
        <v>34</v>
      </c>
      <c r="E24">
        <f t="shared" si="0"/>
        <v>62.2</v>
      </c>
      <c r="F24">
        <f t="shared" si="1"/>
        <v>33.6</v>
      </c>
      <c r="G24">
        <f t="shared" si="2"/>
        <v>-28.6</v>
      </c>
      <c r="H24" s="1">
        <v>38288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7"/>
  <sheetViews>
    <sheetView zoomScalePageLayoutView="0" workbookViewId="0" topLeftCell="A1">
      <selection activeCell="C22" sqref="C22"/>
    </sheetView>
  </sheetViews>
  <sheetFormatPr defaultColWidth="11.00390625" defaultRowHeight="12.75"/>
  <sheetData>
    <row r="3" spans="3:7" ht="12.75">
      <c r="C3" s="3" t="s">
        <v>13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48</v>
      </c>
      <c r="D5">
        <v>43</v>
      </c>
      <c r="E5">
        <f aca="true" t="shared" si="0" ref="E5:E27">AVERAGE(C1:C5)</f>
        <v>48</v>
      </c>
      <c r="F5">
        <f aca="true" t="shared" si="1" ref="F5:F27">AVERAGE(D1:D5)</f>
        <v>43</v>
      </c>
      <c r="G5">
        <f aca="true" t="shared" si="2" ref="G5:G27">F5-E5</f>
        <v>-5</v>
      </c>
      <c r="H5" s="1">
        <v>38045</v>
      </c>
    </row>
    <row r="6" spans="1:8" ht="12.75">
      <c r="A6" s="1">
        <v>38087</v>
      </c>
      <c r="B6" t="s">
        <v>169</v>
      </c>
      <c r="C6">
        <v>48</v>
      </c>
      <c r="D6">
        <v>43</v>
      </c>
      <c r="E6">
        <f t="shared" si="0"/>
        <v>48</v>
      </c>
      <c r="F6">
        <f t="shared" si="1"/>
        <v>43</v>
      </c>
      <c r="G6">
        <f t="shared" si="2"/>
        <v>-5</v>
      </c>
      <c r="H6" s="1">
        <v>38083</v>
      </c>
    </row>
    <row r="7" spans="1:8" ht="12.75">
      <c r="A7" s="1">
        <v>38122</v>
      </c>
      <c r="B7" t="s">
        <v>81</v>
      </c>
      <c r="C7">
        <v>49</v>
      </c>
      <c r="D7">
        <v>42</v>
      </c>
      <c r="E7">
        <f t="shared" si="0"/>
        <v>48.333333333333336</v>
      </c>
      <c r="F7">
        <f t="shared" si="1"/>
        <v>42.666666666666664</v>
      </c>
      <c r="G7">
        <f t="shared" si="2"/>
        <v>-5.666666666666671</v>
      </c>
      <c r="H7" s="1">
        <v>38120</v>
      </c>
    </row>
    <row r="8" spans="1:8" ht="12.75">
      <c r="A8" s="1">
        <v>38123</v>
      </c>
      <c r="B8" t="s">
        <v>169</v>
      </c>
      <c r="C8">
        <v>50</v>
      </c>
      <c r="D8">
        <v>41</v>
      </c>
      <c r="E8">
        <f t="shared" si="0"/>
        <v>48.75</v>
      </c>
      <c r="F8">
        <f t="shared" si="1"/>
        <v>42.25</v>
      </c>
      <c r="G8">
        <f t="shared" si="2"/>
        <v>-6.5</v>
      </c>
      <c r="H8" s="1">
        <v>38120</v>
      </c>
    </row>
    <row r="9" spans="1:8" ht="12.75">
      <c r="A9" s="1">
        <v>38161</v>
      </c>
      <c r="B9" t="s">
        <v>233</v>
      </c>
      <c r="C9">
        <v>44</v>
      </c>
      <c r="D9">
        <v>42</v>
      </c>
      <c r="E9">
        <f t="shared" si="0"/>
        <v>47.8</v>
      </c>
      <c r="F9">
        <f t="shared" si="1"/>
        <v>42.2</v>
      </c>
      <c r="G9">
        <f t="shared" si="2"/>
        <v>-5.599999999999994</v>
      </c>
      <c r="H9" s="1">
        <v>38147</v>
      </c>
    </row>
    <row r="10" spans="1:8" ht="12.75">
      <c r="A10" s="1">
        <v>38156</v>
      </c>
      <c r="B10" t="s">
        <v>169</v>
      </c>
      <c r="C10">
        <v>45</v>
      </c>
      <c r="D10">
        <v>41</v>
      </c>
      <c r="E10">
        <f t="shared" si="0"/>
        <v>47.2</v>
      </c>
      <c r="F10">
        <f t="shared" si="1"/>
        <v>41.8</v>
      </c>
      <c r="G10">
        <f t="shared" si="2"/>
        <v>-5.400000000000006</v>
      </c>
      <c r="H10" s="1">
        <v>38153</v>
      </c>
    </row>
    <row r="11" spans="1:8" ht="12.75">
      <c r="A11" s="1">
        <v>38186</v>
      </c>
      <c r="B11" t="s">
        <v>81</v>
      </c>
      <c r="C11">
        <v>51</v>
      </c>
      <c r="D11">
        <v>41</v>
      </c>
      <c r="E11">
        <f t="shared" si="0"/>
        <v>47.8</v>
      </c>
      <c r="F11">
        <f t="shared" si="1"/>
        <v>41.4</v>
      </c>
      <c r="G11">
        <f t="shared" si="2"/>
        <v>-6.399999999999999</v>
      </c>
      <c r="H11" s="1">
        <v>38183</v>
      </c>
    </row>
    <row r="12" spans="1:8" ht="12.75">
      <c r="A12" s="1">
        <v>38189</v>
      </c>
      <c r="B12" t="s">
        <v>169</v>
      </c>
      <c r="C12">
        <v>49</v>
      </c>
      <c r="D12">
        <v>44</v>
      </c>
      <c r="E12">
        <f t="shared" si="0"/>
        <v>47.8</v>
      </c>
      <c r="F12">
        <f t="shared" si="1"/>
        <v>41.8</v>
      </c>
      <c r="G12">
        <f t="shared" si="2"/>
        <v>-6</v>
      </c>
      <c r="H12" s="1">
        <v>38184</v>
      </c>
    </row>
    <row r="13" spans="1:8" ht="12.75">
      <c r="A13" s="1">
        <v>38201</v>
      </c>
      <c r="B13" t="s">
        <v>27</v>
      </c>
      <c r="C13">
        <v>47</v>
      </c>
      <c r="D13">
        <v>44</v>
      </c>
      <c r="E13">
        <f t="shared" si="0"/>
        <v>47.2</v>
      </c>
      <c r="F13">
        <f t="shared" si="1"/>
        <v>42.4</v>
      </c>
      <c r="G13">
        <f t="shared" si="2"/>
        <v>-4.800000000000004</v>
      </c>
      <c r="H13" s="1">
        <v>38189</v>
      </c>
    </row>
    <row r="14" spans="1:8" ht="12.75">
      <c r="A14" s="1">
        <v>38200</v>
      </c>
      <c r="B14" t="s">
        <v>169</v>
      </c>
      <c r="C14">
        <v>48</v>
      </c>
      <c r="D14">
        <v>42</v>
      </c>
      <c r="E14">
        <f t="shared" si="0"/>
        <v>48</v>
      </c>
      <c r="F14">
        <f t="shared" si="1"/>
        <v>42.4</v>
      </c>
      <c r="G14">
        <f t="shared" si="2"/>
        <v>-5.600000000000001</v>
      </c>
      <c r="H14" s="1">
        <v>38197</v>
      </c>
    </row>
    <row r="15" spans="1:8" ht="12.75">
      <c r="A15" s="1">
        <v>38211</v>
      </c>
      <c r="B15" t="s">
        <v>136</v>
      </c>
      <c r="C15">
        <v>40</v>
      </c>
      <c r="D15">
        <v>45</v>
      </c>
      <c r="E15">
        <f t="shared" si="0"/>
        <v>47</v>
      </c>
      <c r="F15">
        <f t="shared" si="1"/>
        <v>43.2</v>
      </c>
      <c r="G15">
        <f t="shared" si="2"/>
        <v>-3.799999999999997</v>
      </c>
      <c r="H15" s="1">
        <v>38205</v>
      </c>
    </row>
    <row r="16" spans="1:8" ht="12.75">
      <c r="A16" s="1">
        <v>38233</v>
      </c>
      <c r="B16" t="s">
        <v>71</v>
      </c>
      <c r="C16">
        <v>57</v>
      </c>
      <c r="D16">
        <v>33</v>
      </c>
      <c r="E16">
        <f t="shared" si="0"/>
        <v>48.2</v>
      </c>
      <c r="F16">
        <f t="shared" si="1"/>
        <v>41.6</v>
      </c>
      <c r="G16">
        <f t="shared" si="2"/>
        <v>-6.600000000000001</v>
      </c>
      <c r="H16" s="1">
        <v>38231</v>
      </c>
    </row>
    <row r="17" spans="1:8" ht="12.75">
      <c r="A17" s="1">
        <v>38234</v>
      </c>
      <c r="B17" t="s">
        <v>27</v>
      </c>
      <c r="C17">
        <v>54</v>
      </c>
      <c r="D17">
        <v>35</v>
      </c>
      <c r="E17">
        <f t="shared" si="0"/>
        <v>49.2</v>
      </c>
      <c r="F17">
        <f t="shared" si="1"/>
        <v>39.8</v>
      </c>
      <c r="G17">
        <f t="shared" si="2"/>
        <v>-9.400000000000006</v>
      </c>
      <c r="H17" s="1">
        <v>38231</v>
      </c>
    </row>
    <row r="18" spans="1:8" ht="12.75">
      <c r="A18" s="1">
        <v>38240</v>
      </c>
      <c r="B18" t="s">
        <v>169</v>
      </c>
      <c r="C18">
        <v>64</v>
      </c>
      <c r="D18">
        <v>33</v>
      </c>
      <c r="E18">
        <f t="shared" si="0"/>
        <v>52.6</v>
      </c>
      <c r="F18">
        <f t="shared" si="1"/>
        <v>37.6</v>
      </c>
      <c r="G18">
        <f t="shared" si="2"/>
        <v>-15</v>
      </c>
      <c r="H18" s="1">
        <v>38238</v>
      </c>
    </row>
    <row r="19" spans="1:8" ht="12.75">
      <c r="A19" s="1">
        <v>38247</v>
      </c>
      <c r="B19" t="s">
        <v>59</v>
      </c>
      <c r="C19">
        <v>55</v>
      </c>
      <c r="D19">
        <v>39</v>
      </c>
      <c r="E19">
        <f t="shared" si="0"/>
        <v>54</v>
      </c>
      <c r="F19">
        <f t="shared" si="1"/>
        <v>37</v>
      </c>
      <c r="G19">
        <f t="shared" si="2"/>
        <v>-17</v>
      </c>
      <c r="H19" s="1">
        <v>38242</v>
      </c>
    </row>
    <row r="20" spans="1:8" ht="12.75">
      <c r="A20" s="1">
        <v>38249</v>
      </c>
      <c r="B20" t="s">
        <v>81</v>
      </c>
      <c r="C20">
        <v>55</v>
      </c>
      <c r="D20">
        <v>38</v>
      </c>
      <c r="E20">
        <f t="shared" si="0"/>
        <v>57</v>
      </c>
      <c r="F20">
        <f t="shared" si="1"/>
        <v>35.6</v>
      </c>
      <c r="G20">
        <f t="shared" si="2"/>
        <v>-21.4</v>
      </c>
      <c r="H20" s="1">
        <v>38246</v>
      </c>
    </row>
    <row r="21" spans="1:8" ht="12.75">
      <c r="A21" s="1">
        <v>38255</v>
      </c>
      <c r="B21" t="s">
        <v>53</v>
      </c>
      <c r="C21">
        <v>55</v>
      </c>
      <c r="D21">
        <v>37</v>
      </c>
      <c r="E21">
        <f t="shared" si="0"/>
        <v>56.6</v>
      </c>
      <c r="F21">
        <f t="shared" si="1"/>
        <v>36.4</v>
      </c>
      <c r="G21">
        <f t="shared" si="2"/>
        <v>-20.200000000000003</v>
      </c>
      <c r="H21" s="1">
        <v>38250</v>
      </c>
    </row>
    <row r="22" spans="1:8" ht="12.75">
      <c r="A22" s="1">
        <v>38267</v>
      </c>
      <c r="B22" t="s">
        <v>169</v>
      </c>
      <c r="C22">
        <v>55</v>
      </c>
      <c r="D22">
        <v>40</v>
      </c>
      <c r="E22">
        <f t="shared" si="0"/>
        <v>56.8</v>
      </c>
      <c r="F22">
        <f t="shared" si="1"/>
        <v>37.4</v>
      </c>
      <c r="G22">
        <f t="shared" si="2"/>
        <v>-19.4</v>
      </c>
      <c r="H22" s="1">
        <v>38265</v>
      </c>
    </row>
    <row r="23" spans="1:8" ht="12.75">
      <c r="A23" s="1">
        <v>38269</v>
      </c>
      <c r="B23" t="s">
        <v>27</v>
      </c>
      <c r="C23">
        <v>55</v>
      </c>
      <c r="D23">
        <v>38</v>
      </c>
      <c r="E23">
        <f t="shared" si="0"/>
        <v>55</v>
      </c>
      <c r="F23">
        <f t="shared" si="1"/>
        <v>38.4</v>
      </c>
      <c r="G23">
        <f t="shared" si="2"/>
        <v>-16.6</v>
      </c>
      <c r="H23" s="1">
        <v>38265</v>
      </c>
    </row>
    <row r="24" spans="1:9" ht="12.75">
      <c r="A24" s="1">
        <v>38277</v>
      </c>
      <c r="B24" t="s">
        <v>81</v>
      </c>
      <c r="C24">
        <v>57</v>
      </c>
      <c r="D24">
        <v>38</v>
      </c>
      <c r="E24">
        <f t="shared" si="0"/>
        <v>55.4</v>
      </c>
      <c r="F24">
        <f t="shared" si="1"/>
        <v>38.2</v>
      </c>
      <c r="G24">
        <f t="shared" si="2"/>
        <v>-17.199999999999996</v>
      </c>
      <c r="H24" s="1">
        <v>38275</v>
      </c>
      <c r="I24">
        <f>38-57</f>
        <v>-19</v>
      </c>
    </row>
    <row r="25" spans="1:8" ht="12.75">
      <c r="A25" s="1">
        <v>38281</v>
      </c>
      <c r="B25" t="s">
        <v>27</v>
      </c>
      <c r="C25">
        <v>53</v>
      </c>
      <c r="D25">
        <v>42</v>
      </c>
      <c r="E25">
        <f t="shared" si="0"/>
        <v>55</v>
      </c>
      <c r="F25">
        <f t="shared" si="1"/>
        <v>39</v>
      </c>
      <c r="G25">
        <f t="shared" si="2"/>
        <v>-16</v>
      </c>
      <c r="H25" s="1">
        <v>38278</v>
      </c>
    </row>
    <row r="26" spans="1:8" ht="12.75">
      <c r="A26" s="1">
        <v>38289</v>
      </c>
      <c r="B26" t="s">
        <v>169</v>
      </c>
      <c r="C26">
        <v>57</v>
      </c>
      <c r="D26">
        <v>41</v>
      </c>
      <c r="E26">
        <f t="shared" si="0"/>
        <v>55.4</v>
      </c>
      <c r="F26">
        <f t="shared" si="1"/>
        <v>39.8</v>
      </c>
      <c r="G26">
        <f t="shared" si="2"/>
        <v>-15.600000000000001</v>
      </c>
      <c r="H26" s="1">
        <v>38287</v>
      </c>
    </row>
    <row r="27" spans="1:8" ht="12.75">
      <c r="A27" s="1">
        <v>38291</v>
      </c>
      <c r="B27" t="s">
        <v>81</v>
      </c>
      <c r="C27">
        <v>58</v>
      </c>
      <c r="D27">
        <v>39</v>
      </c>
      <c r="E27">
        <f t="shared" si="0"/>
        <v>56</v>
      </c>
      <c r="F27">
        <f t="shared" si="1"/>
        <v>39.6</v>
      </c>
      <c r="G27">
        <f t="shared" si="2"/>
        <v>-16.4</v>
      </c>
      <c r="H27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3:K38"/>
  <sheetViews>
    <sheetView zoomScalePageLayoutView="0" workbookViewId="0" topLeftCell="A1">
      <selection activeCell="C34" sqref="C34"/>
    </sheetView>
  </sheetViews>
  <sheetFormatPr defaultColWidth="11.00390625" defaultRowHeight="12.75"/>
  <sheetData>
    <row r="3" spans="3:7" ht="12.75">
      <c r="C3" s="3" t="s">
        <v>168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37974</v>
      </c>
      <c r="B5" t="s">
        <v>126</v>
      </c>
      <c r="C5">
        <v>44</v>
      </c>
      <c r="D5">
        <v>46</v>
      </c>
      <c r="E5">
        <f>AVERAGE(C1:C5)</f>
        <v>44</v>
      </c>
      <c r="F5">
        <f>AVERAGE(D1:D5)</f>
        <v>46</v>
      </c>
      <c r="G5">
        <f>F5-E5</f>
        <v>2</v>
      </c>
      <c r="H5" s="1">
        <v>37974</v>
      </c>
    </row>
    <row r="6" spans="1:8" ht="12.75">
      <c r="A6" s="1">
        <v>38071</v>
      </c>
      <c r="B6" t="s">
        <v>169</v>
      </c>
      <c r="C6">
        <v>40</v>
      </c>
      <c r="D6">
        <v>49</v>
      </c>
      <c r="E6">
        <f>AVERAGE(C2:C6)</f>
        <v>42</v>
      </c>
      <c r="F6">
        <f>AVERAGE(D2:D6)</f>
        <v>47.5</v>
      </c>
      <c r="G6">
        <f>F6-E6</f>
        <v>5.5</v>
      </c>
      <c r="H6" s="1">
        <v>38029</v>
      </c>
    </row>
    <row r="7" spans="1:8" ht="12.75">
      <c r="A7" s="1">
        <v>38071</v>
      </c>
      <c r="B7" t="s">
        <v>126</v>
      </c>
      <c r="C7">
        <v>47</v>
      </c>
      <c r="D7">
        <v>48</v>
      </c>
      <c r="E7">
        <f>AVERAGE(C3:C7)</f>
        <v>43.666666666666664</v>
      </c>
      <c r="F7">
        <f>AVERAGE(D3:D7)</f>
        <v>47.666666666666664</v>
      </c>
      <c r="G7">
        <f>F7-E7</f>
        <v>4</v>
      </c>
      <c r="H7" s="1">
        <v>38033</v>
      </c>
    </row>
    <row r="8" spans="1:8" ht="12.75">
      <c r="A8" s="1">
        <v>38071</v>
      </c>
      <c r="B8" t="s">
        <v>73</v>
      </c>
      <c r="C8">
        <v>38</v>
      </c>
      <c r="D8">
        <v>46</v>
      </c>
      <c r="E8">
        <f>AVERAGE(C4:C8)</f>
        <v>42.25</v>
      </c>
      <c r="F8">
        <f>AVERAGE(D4:D8)</f>
        <v>47.25</v>
      </c>
      <c r="G8">
        <f>F8-E8</f>
        <v>5</v>
      </c>
      <c r="H8" s="1">
        <v>38034</v>
      </c>
    </row>
    <row r="9" spans="1:8" ht="12.75">
      <c r="A9" s="1">
        <v>38051</v>
      </c>
      <c r="B9" t="s">
        <v>126</v>
      </c>
      <c r="C9">
        <v>41</v>
      </c>
      <c r="D9">
        <v>49</v>
      </c>
      <c r="E9">
        <f>AVERAGE(C5:C9)</f>
        <v>42</v>
      </c>
      <c r="F9">
        <f>AVERAGE(D5:D9)</f>
        <v>47.6</v>
      </c>
      <c r="G9">
        <f>F9-E9</f>
        <v>5.600000000000001</v>
      </c>
      <c r="H9" s="1">
        <v>38044</v>
      </c>
    </row>
    <row r="10" spans="1:8" ht="12.75">
      <c r="A10" s="1">
        <v>38071</v>
      </c>
      <c r="B10" t="s">
        <v>126</v>
      </c>
      <c r="C10">
        <v>41</v>
      </c>
      <c r="D10">
        <v>50</v>
      </c>
      <c r="E10">
        <f>AVERAGE(C6:C10)</f>
        <v>41.4</v>
      </c>
      <c r="F10">
        <f>AVERAGE(D6:D10)</f>
        <v>48.4</v>
      </c>
      <c r="G10">
        <f>F10-E10</f>
        <v>7</v>
      </c>
      <c r="H10" s="1">
        <v>38061</v>
      </c>
    </row>
    <row r="11" spans="1:8" ht="12.75">
      <c r="A11" s="1">
        <v>38073</v>
      </c>
      <c r="B11" t="s">
        <v>169</v>
      </c>
      <c r="C11">
        <v>42</v>
      </c>
      <c r="D11">
        <v>48</v>
      </c>
      <c r="E11">
        <f>AVERAGE(C7:C11)</f>
        <v>41.8</v>
      </c>
      <c r="F11">
        <f>AVERAGE(D7:D11)</f>
        <v>48.2</v>
      </c>
      <c r="G11">
        <f>F11-E11</f>
        <v>6.400000000000006</v>
      </c>
      <c r="H11" s="1">
        <v>38072</v>
      </c>
    </row>
    <row r="12" spans="1:8" ht="12.75">
      <c r="A12" s="1">
        <v>38094</v>
      </c>
      <c r="B12" t="s">
        <v>126</v>
      </c>
      <c r="C12">
        <v>42</v>
      </c>
      <c r="D12">
        <v>51</v>
      </c>
      <c r="E12">
        <f>AVERAGE(C8:C12)</f>
        <v>40.8</v>
      </c>
      <c r="F12">
        <f>AVERAGE(D8:D12)</f>
        <v>48.8</v>
      </c>
      <c r="G12">
        <f>F12-E12</f>
        <v>8</v>
      </c>
      <c r="H12" s="1">
        <v>38089</v>
      </c>
    </row>
    <row r="13" spans="1:8" ht="12.75">
      <c r="A13" s="1">
        <v>38117</v>
      </c>
      <c r="B13" t="s">
        <v>169</v>
      </c>
      <c r="C13">
        <v>38</v>
      </c>
      <c r="D13">
        <v>52</v>
      </c>
      <c r="E13">
        <f>AVERAGE(C9:C13)</f>
        <v>40.8</v>
      </c>
      <c r="F13">
        <f>AVERAGE(D9:D13)</f>
        <v>50</v>
      </c>
      <c r="G13">
        <f>F13-E13</f>
        <v>9.200000000000003</v>
      </c>
      <c r="H13" s="1">
        <v>38113</v>
      </c>
    </row>
    <row r="14" spans="1:8" ht="12.75">
      <c r="A14" s="1">
        <v>38140</v>
      </c>
      <c r="B14" t="s">
        <v>126</v>
      </c>
      <c r="C14">
        <v>39</v>
      </c>
      <c r="D14">
        <v>49</v>
      </c>
      <c r="E14">
        <f>AVERAGE(C10:C14)</f>
        <v>40.4</v>
      </c>
      <c r="F14">
        <f>AVERAGE(D10:D14)</f>
        <v>50</v>
      </c>
      <c r="G14">
        <f>F14-E14</f>
        <v>9.600000000000001</v>
      </c>
      <c r="H14" s="1">
        <v>38124</v>
      </c>
    </row>
    <row r="15" spans="1:8" ht="12.75">
      <c r="A15" s="1">
        <v>38151</v>
      </c>
      <c r="B15" t="s">
        <v>169</v>
      </c>
      <c r="C15">
        <v>38</v>
      </c>
      <c r="D15">
        <v>46</v>
      </c>
      <c r="E15">
        <f>AVERAGE(C11:C15)</f>
        <v>39.8</v>
      </c>
      <c r="F15">
        <f>AVERAGE(D11:D15)</f>
        <v>49.2</v>
      </c>
      <c r="G15">
        <f>F15-E15</f>
        <v>9.400000000000006</v>
      </c>
      <c r="H15" s="1">
        <v>38148</v>
      </c>
    </row>
    <row r="16" spans="1:8" ht="12.75">
      <c r="A16" s="1">
        <v>38161</v>
      </c>
      <c r="B16" t="s">
        <v>126</v>
      </c>
      <c r="C16">
        <v>45</v>
      </c>
      <c r="D16">
        <v>48</v>
      </c>
      <c r="E16">
        <f>AVERAGE(C12:C16)</f>
        <v>40.4</v>
      </c>
      <c r="F16">
        <f>AVERAGE(D12:D16)</f>
        <v>49.2</v>
      </c>
      <c r="G16">
        <f>F16-E16</f>
        <v>8.800000000000004</v>
      </c>
      <c r="H16" s="1">
        <v>38156</v>
      </c>
    </row>
    <row r="17" spans="1:8" ht="12.75">
      <c r="A17" s="1">
        <v>38176</v>
      </c>
      <c r="B17" t="s">
        <v>239</v>
      </c>
      <c r="C17">
        <v>33</v>
      </c>
      <c r="D17">
        <v>49</v>
      </c>
      <c r="E17">
        <f>AVERAGE(C13:C17)</f>
        <v>38.6</v>
      </c>
      <c r="F17">
        <f>AVERAGE(D13:D17)</f>
        <v>48.8</v>
      </c>
      <c r="G17">
        <f>F17-E17</f>
        <v>10.199999999999996</v>
      </c>
      <c r="H17" s="1">
        <v>38167</v>
      </c>
    </row>
    <row r="18" spans="1:8" ht="12.75">
      <c r="A18" s="1">
        <v>38184</v>
      </c>
      <c r="B18" t="s">
        <v>169</v>
      </c>
      <c r="C18">
        <v>40</v>
      </c>
      <c r="D18">
        <v>49</v>
      </c>
      <c r="E18">
        <f>AVERAGE(C14:C18)</f>
        <v>39</v>
      </c>
      <c r="F18">
        <f>AVERAGE(D14:D18)</f>
        <v>48.2</v>
      </c>
      <c r="G18">
        <f>F18-E18</f>
        <v>9.200000000000003</v>
      </c>
      <c r="H18" s="1">
        <v>38181</v>
      </c>
    </row>
    <row r="19" spans="1:8" ht="12.75">
      <c r="A19" s="1">
        <v>38205</v>
      </c>
      <c r="B19" t="s">
        <v>126</v>
      </c>
      <c r="C19">
        <v>45</v>
      </c>
      <c r="D19">
        <v>48</v>
      </c>
      <c r="E19">
        <f>AVERAGE(C15:C19)</f>
        <v>40.2</v>
      </c>
      <c r="F19">
        <f>AVERAGE(D15:D19)</f>
        <v>48</v>
      </c>
      <c r="G19">
        <f>F19-E19</f>
        <v>7.799999999999997</v>
      </c>
      <c r="H19" s="1">
        <v>38202</v>
      </c>
    </row>
    <row r="20" spans="1:8" ht="12.75">
      <c r="A20" s="1">
        <v>38210</v>
      </c>
      <c r="B20" t="s">
        <v>169</v>
      </c>
      <c r="C20">
        <v>42</v>
      </c>
      <c r="D20">
        <v>52</v>
      </c>
      <c r="E20">
        <f>AVERAGE(C16:C20)</f>
        <v>41</v>
      </c>
      <c r="F20">
        <f>AVERAGE(D16:D20)</f>
        <v>49.2</v>
      </c>
      <c r="G20">
        <f>F20-E20</f>
        <v>8.200000000000003</v>
      </c>
      <c r="H20" s="1">
        <v>38205</v>
      </c>
    </row>
    <row r="21" spans="1:8" ht="12.75">
      <c r="A21" s="1">
        <v>38242</v>
      </c>
      <c r="B21" t="s">
        <v>178</v>
      </c>
      <c r="C21">
        <v>39</v>
      </c>
      <c r="D21">
        <v>46</v>
      </c>
      <c r="E21">
        <f>AVERAGE(C17:C21)</f>
        <v>39.8</v>
      </c>
      <c r="F21">
        <f>AVERAGE(D17:D21)</f>
        <v>48.8</v>
      </c>
      <c r="G21">
        <f>F21-E21</f>
        <v>9</v>
      </c>
      <c r="H21" s="1">
        <v>38238</v>
      </c>
    </row>
    <row r="22" spans="1:8" ht="12.75">
      <c r="A22" s="1">
        <v>38245</v>
      </c>
      <c r="B22" t="s">
        <v>315</v>
      </c>
      <c r="C22">
        <v>37</v>
      </c>
      <c r="D22">
        <v>43</v>
      </c>
      <c r="E22">
        <f>AVERAGE(C18:C22)</f>
        <v>40.6</v>
      </c>
      <c r="F22">
        <f>AVERAGE(D18:D22)</f>
        <v>47.6</v>
      </c>
      <c r="G22">
        <f>F22-E22</f>
        <v>7</v>
      </c>
      <c r="H22" s="1">
        <v>38240</v>
      </c>
    </row>
    <row r="23" spans="1:8" ht="12.75">
      <c r="A23" s="1">
        <v>38248</v>
      </c>
      <c r="B23" t="s">
        <v>23</v>
      </c>
      <c r="C23">
        <v>40</v>
      </c>
      <c r="D23">
        <v>50</v>
      </c>
      <c r="E23">
        <f>AVERAGE(C19:C23)</f>
        <v>40.6</v>
      </c>
      <c r="F23">
        <f>AVERAGE(D19:D23)</f>
        <v>47.8</v>
      </c>
      <c r="G23">
        <f>F23-E23</f>
        <v>7.199999999999996</v>
      </c>
      <c r="H23" s="1">
        <v>38243</v>
      </c>
    </row>
    <row r="24" spans="1:8" ht="12.75">
      <c r="A24" s="1">
        <v>38247</v>
      </c>
      <c r="B24" t="s">
        <v>169</v>
      </c>
      <c r="C24">
        <v>47</v>
      </c>
      <c r="D24">
        <v>51</v>
      </c>
      <c r="E24">
        <f>AVERAGE(C20:C24)</f>
        <v>41</v>
      </c>
      <c r="F24">
        <f>AVERAGE(D20:D24)</f>
        <v>48.4</v>
      </c>
      <c r="G24">
        <f>F24-E24</f>
        <v>7.399999999999999</v>
      </c>
      <c r="H24" s="1">
        <v>38244</v>
      </c>
    </row>
    <row r="25" spans="1:8" ht="12.75">
      <c r="A25" s="1">
        <v>38253</v>
      </c>
      <c r="B25" t="s">
        <v>59</v>
      </c>
      <c r="C25">
        <v>41</v>
      </c>
      <c r="D25">
        <v>52</v>
      </c>
      <c r="E25">
        <f>AVERAGE(C21:C25)</f>
        <v>40.8</v>
      </c>
      <c r="F25">
        <f>AVERAGE(D21:D25)</f>
        <v>48.4</v>
      </c>
      <c r="G25">
        <f>F25-E25</f>
        <v>7.600000000000001</v>
      </c>
      <c r="H25" s="1">
        <v>38251</v>
      </c>
    </row>
    <row r="26" spans="1:8" ht="12.75">
      <c r="A26" s="1">
        <v>38254</v>
      </c>
      <c r="B26" t="s">
        <v>126</v>
      </c>
      <c r="C26">
        <v>41</v>
      </c>
      <c r="D26">
        <v>52</v>
      </c>
      <c r="E26">
        <f>AVERAGE(C22:C26)</f>
        <v>41.2</v>
      </c>
      <c r="F26">
        <f>AVERAGE(D22:D26)</f>
        <v>49.6</v>
      </c>
      <c r="G26">
        <f>F26-E26</f>
        <v>8.399999999999999</v>
      </c>
      <c r="H26" s="1">
        <v>38252</v>
      </c>
    </row>
    <row r="27" spans="1:8" ht="12.75">
      <c r="A27" s="1">
        <v>38256</v>
      </c>
      <c r="B27" t="s">
        <v>81</v>
      </c>
      <c r="C27">
        <v>39</v>
      </c>
      <c r="D27">
        <v>53</v>
      </c>
      <c r="E27">
        <f>AVERAGE(C23:C27)</f>
        <v>41.6</v>
      </c>
      <c r="F27">
        <f>AVERAGE(D23:D27)</f>
        <v>51.6</v>
      </c>
      <c r="G27">
        <f>F27-E27</f>
        <v>10</v>
      </c>
      <c r="H27" s="1">
        <v>38253</v>
      </c>
    </row>
    <row r="28" spans="1:8" ht="12.75">
      <c r="A28" s="1">
        <v>38270</v>
      </c>
      <c r="B28" t="s">
        <v>169</v>
      </c>
      <c r="C28">
        <v>43</v>
      </c>
      <c r="D28">
        <v>54</v>
      </c>
      <c r="E28">
        <f>AVERAGE(C24:C28)</f>
        <v>42.2</v>
      </c>
      <c r="F28">
        <f>AVERAGE(D24:D28)</f>
        <v>52.4</v>
      </c>
      <c r="G28">
        <f>F28-E28</f>
        <v>10.199999999999996</v>
      </c>
      <c r="H28" s="1">
        <v>38268</v>
      </c>
    </row>
    <row r="29" spans="1:8" ht="12.75">
      <c r="A29" s="1">
        <v>38280</v>
      </c>
      <c r="B29" t="s">
        <v>290</v>
      </c>
      <c r="C29">
        <v>39</v>
      </c>
      <c r="D29">
        <v>52</v>
      </c>
      <c r="E29">
        <f>AVERAGE(C25:C29)</f>
        <v>40.6</v>
      </c>
      <c r="F29">
        <f>AVERAGE(D25:D29)</f>
        <v>52.6</v>
      </c>
      <c r="G29">
        <f>F29-E29</f>
        <v>12</v>
      </c>
      <c r="H29" s="1">
        <v>38268</v>
      </c>
    </row>
    <row r="30" spans="1:8" ht="12.75">
      <c r="A30" s="1">
        <v>38273</v>
      </c>
      <c r="B30" t="s">
        <v>126</v>
      </c>
      <c r="C30">
        <v>40</v>
      </c>
      <c r="D30">
        <v>57</v>
      </c>
      <c r="E30">
        <f>AVERAGE(C26:C30)</f>
        <v>40.4</v>
      </c>
      <c r="F30">
        <f>AVERAGE(D26:D30)</f>
        <v>53.6</v>
      </c>
      <c r="G30">
        <f>F30-E30</f>
        <v>13.200000000000003</v>
      </c>
      <c r="H30" s="1">
        <v>38271</v>
      </c>
    </row>
    <row r="31" spans="1:11" ht="12.75">
      <c r="A31" s="1">
        <v>38276</v>
      </c>
      <c r="B31" t="s">
        <v>169</v>
      </c>
      <c r="C31">
        <v>41</v>
      </c>
      <c r="D31">
        <v>54</v>
      </c>
      <c r="E31">
        <f>AVERAGE(C27:C31)</f>
        <v>40.4</v>
      </c>
      <c r="F31">
        <f>AVERAGE(D27:D31)</f>
        <v>54</v>
      </c>
      <c r="G31">
        <f>F31-E31</f>
        <v>13.600000000000001</v>
      </c>
      <c r="H31" s="1">
        <v>38273</v>
      </c>
      <c r="I31">
        <f>AVERAGE(C28:C31)</f>
        <v>40.75</v>
      </c>
      <c r="J31">
        <f>AVERAGE(D28:D31)</f>
        <v>54.25</v>
      </c>
      <c r="K31">
        <f>J31-I31</f>
        <v>13.5</v>
      </c>
    </row>
    <row r="32" spans="1:8" ht="12.75">
      <c r="A32" s="1">
        <v>38277</v>
      </c>
      <c r="B32" t="s">
        <v>81</v>
      </c>
      <c r="C32">
        <v>38</v>
      </c>
      <c r="D32">
        <v>53</v>
      </c>
      <c r="E32">
        <f>AVERAGE(C28:C32)</f>
        <v>40.2</v>
      </c>
      <c r="F32">
        <f>AVERAGE(D28:D32)</f>
        <v>54</v>
      </c>
      <c r="G32">
        <f>F32-E32</f>
        <v>13.799999999999997</v>
      </c>
      <c r="H32" s="1">
        <v>38275</v>
      </c>
    </row>
    <row r="33" spans="1:8" ht="12.75">
      <c r="A33" s="1">
        <v>38283</v>
      </c>
      <c r="B33" t="s">
        <v>73</v>
      </c>
      <c r="C33">
        <v>34</v>
      </c>
      <c r="D33">
        <v>48</v>
      </c>
      <c r="E33">
        <f>AVERAGE(C29:C33)</f>
        <v>38.4</v>
      </c>
      <c r="F33">
        <f>AVERAGE(D29:D33)</f>
        <v>52.8</v>
      </c>
      <c r="G33">
        <f>F33-E33</f>
        <v>14.399999999999999</v>
      </c>
      <c r="H33" s="1">
        <v>38279</v>
      </c>
    </row>
    <row r="34" spans="1:8" ht="12.75">
      <c r="A34" s="1">
        <v>38287</v>
      </c>
      <c r="B34" t="s">
        <v>126</v>
      </c>
      <c r="C34">
        <v>38</v>
      </c>
      <c r="D34">
        <v>57</v>
      </c>
      <c r="E34">
        <f>AVERAGE(C30:C34)</f>
        <v>38.2</v>
      </c>
      <c r="F34">
        <f>AVERAGE(D30:D34)</f>
        <v>53.8</v>
      </c>
      <c r="G34">
        <f>F34-E34</f>
        <v>15.599999999999994</v>
      </c>
      <c r="H34" s="1">
        <v>38285</v>
      </c>
    </row>
    <row r="35" spans="1:8" ht="12.75">
      <c r="A35" s="1">
        <v>38289</v>
      </c>
      <c r="B35" t="s">
        <v>315</v>
      </c>
      <c r="C35">
        <v>37</v>
      </c>
      <c r="D35">
        <v>51</v>
      </c>
      <c r="E35">
        <f>AVERAGE(C31:C35)</f>
        <v>37.6</v>
      </c>
      <c r="F35">
        <f>AVERAGE(D31:D35)</f>
        <v>52.6</v>
      </c>
      <c r="G35">
        <f>F35-E35</f>
        <v>15</v>
      </c>
      <c r="H35" s="1">
        <v>38287</v>
      </c>
    </row>
    <row r="36" spans="1:8" ht="12.75">
      <c r="A36" s="1">
        <v>38291</v>
      </c>
      <c r="B36" t="s">
        <v>81</v>
      </c>
      <c r="C36">
        <v>39</v>
      </c>
      <c r="D36">
        <v>55</v>
      </c>
      <c r="E36">
        <f>AVERAGE(C32:C36)</f>
        <v>37.2</v>
      </c>
      <c r="F36">
        <f>AVERAGE(D32:D36)</f>
        <v>52.8</v>
      </c>
      <c r="G36">
        <f>F36-E36</f>
        <v>15.599999999999994</v>
      </c>
      <c r="H36" s="1">
        <v>38288</v>
      </c>
    </row>
    <row r="37" spans="1:8" ht="12.75">
      <c r="A37" s="1">
        <v>38291</v>
      </c>
      <c r="B37" t="s">
        <v>93</v>
      </c>
      <c r="C37">
        <v>42</v>
      </c>
      <c r="D37">
        <v>57</v>
      </c>
      <c r="E37">
        <f>AVERAGE(C33:C37)</f>
        <v>38</v>
      </c>
      <c r="F37">
        <f>AVERAGE(D33:D37)</f>
        <v>53.6</v>
      </c>
      <c r="G37">
        <f>F37-E37</f>
        <v>15.600000000000001</v>
      </c>
      <c r="H37" s="1">
        <v>38289</v>
      </c>
    </row>
    <row r="38" spans="1:8" ht="12.75">
      <c r="A38" s="1">
        <v>38291</v>
      </c>
      <c r="B38" t="s">
        <v>126</v>
      </c>
      <c r="C38">
        <v>38</v>
      </c>
      <c r="D38">
        <v>57</v>
      </c>
      <c r="E38">
        <f>AVERAGE(C34:C38)</f>
        <v>38.8</v>
      </c>
      <c r="F38">
        <f>AVERAGE(D34:D38)</f>
        <v>55.4</v>
      </c>
      <c r="G38">
        <f>F38-E38</f>
        <v>16.6</v>
      </c>
      <c r="H38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K114"/>
  <sheetViews>
    <sheetView zoomScalePageLayoutView="0" workbookViewId="0" topLeftCell="A1">
      <pane ySplit="2080" topLeftCell="BM92" activePane="bottomLeft" state="split"/>
      <selection pane="topLeft" activeCell="B7" sqref="B7"/>
      <selection pane="bottomLeft" activeCell="H119" sqref="H119"/>
    </sheetView>
  </sheetViews>
  <sheetFormatPr defaultColWidth="11.00390625" defaultRowHeight="12.75"/>
  <sheetData>
    <row r="3" spans="3:7" ht="12.75">
      <c r="C3" s="3" t="s">
        <v>179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38056</v>
      </c>
      <c r="B5" t="s">
        <v>169</v>
      </c>
      <c r="C5">
        <v>39</v>
      </c>
      <c r="D5">
        <v>49</v>
      </c>
      <c r="E5">
        <f>AVERAGE(C1:C5)</f>
        <v>39</v>
      </c>
      <c r="F5">
        <f>AVERAGE(D1:D5)</f>
        <v>49</v>
      </c>
      <c r="G5">
        <f>F5-E5</f>
        <v>10</v>
      </c>
      <c r="H5" s="1">
        <v>38030</v>
      </c>
    </row>
    <row r="6" spans="1:8" ht="12.75">
      <c r="A6" s="1">
        <v>38056</v>
      </c>
      <c r="B6" t="s">
        <v>95</v>
      </c>
      <c r="C6">
        <v>42</v>
      </c>
      <c r="D6">
        <v>39</v>
      </c>
      <c r="E6">
        <f>AVERAGE(C2:C6)</f>
        <v>40.5</v>
      </c>
      <c r="F6">
        <f>AVERAGE(D2:D6)</f>
        <v>44</v>
      </c>
      <c r="G6">
        <f>F6-E6</f>
        <v>3.5</v>
      </c>
      <c r="H6" s="1">
        <v>38033</v>
      </c>
    </row>
    <row r="7" spans="1:8" ht="12.75">
      <c r="A7" s="1">
        <v>38037</v>
      </c>
      <c r="B7" t="s">
        <v>180</v>
      </c>
      <c r="C7">
        <v>44</v>
      </c>
      <c r="D7">
        <v>43</v>
      </c>
      <c r="E7">
        <f>AVERAGE(C3:C7)</f>
        <v>41.666666666666664</v>
      </c>
      <c r="F7">
        <f>AVERAGE(D3:D7)</f>
        <v>43.666666666666664</v>
      </c>
      <c r="G7">
        <f>F7-E7</f>
        <v>2</v>
      </c>
      <c r="H7" s="1">
        <v>38037</v>
      </c>
    </row>
    <row r="8" spans="1:8" ht="12.75">
      <c r="A8" s="1">
        <v>38043</v>
      </c>
      <c r="B8" t="s">
        <v>280</v>
      </c>
      <c r="C8">
        <v>40</v>
      </c>
      <c r="D8">
        <v>42</v>
      </c>
      <c r="E8">
        <f>AVERAGE(C4:C8)</f>
        <v>41.25</v>
      </c>
      <c r="F8">
        <f>AVERAGE(D4:D8)</f>
        <v>43.25</v>
      </c>
      <c r="G8">
        <f>F8-E8</f>
        <v>2</v>
      </c>
      <c r="H8" s="1">
        <v>38043</v>
      </c>
    </row>
    <row r="9" spans="1:8" ht="12.75">
      <c r="A9" s="1">
        <v>38051</v>
      </c>
      <c r="B9" t="s">
        <v>126</v>
      </c>
      <c r="C9">
        <v>47</v>
      </c>
      <c r="D9">
        <v>42</v>
      </c>
      <c r="E9">
        <f>AVERAGE(C5:C9)</f>
        <v>42.4</v>
      </c>
      <c r="F9">
        <f>AVERAGE(D5:D9)</f>
        <v>43</v>
      </c>
      <c r="G9">
        <f>F9-E9</f>
        <v>0.6000000000000014</v>
      </c>
      <c r="H9" s="1">
        <v>38051</v>
      </c>
    </row>
    <row r="10" spans="1:8" ht="12.75">
      <c r="A10" s="1">
        <v>38058</v>
      </c>
      <c r="B10" t="s">
        <v>103</v>
      </c>
      <c r="C10">
        <v>47</v>
      </c>
      <c r="D10">
        <v>44</v>
      </c>
      <c r="E10">
        <f>AVERAGE(C6:C10)</f>
        <v>44</v>
      </c>
      <c r="F10">
        <f>AVERAGE(D6:D10)</f>
        <v>42</v>
      </c>
      <c r="G10">
        <f>F10-E10</f>
        <v>-2</v>
      </c>
      <c r="H10" s="1">
        <v>38054</v>
      </c>
    </row>
    <row r="11" spans="1:8" ht="12.75">
      <c r="A11" s="1">
        <v>38058</v>
      </c>
      <c r="B11" t="s">
        <v>101</v>
      </c>
      <c r="C11">
        <v>45</v>
      </c>
      <c r="D11">
        <v>41</v>
      </c>
      <c r="E11">
        <f>AVERAGE(C7:C11)</f>
        <v>44.6</v>
      </c>
      <c r="F11">
        <f>AVERAGE(D7:D11)</f>
        <v>42.4</v>
      </c>
      <c r="G11">
        <f>F11-E11</f>
        <v>-2.200000000000003</v>
      </c>
      <c r="H11" s="1">
        <v>38055</v>
      </c>
    </row>
    <row r="12" spans="1:8" ht="12.75">
      <c r="A12" s="1">
        <v>38059</v>
      </c>
      <c r="B12" t="s">
        <v>169</v>
      </c>
      <c r="C12">
        <v>44</v>
      </c>
      <c r="D12">
        <v>43</v>
      </c>
      <c r="E12">
        <f>AVERAGE(C8:C12)</f>
        <v>44.6</v>
      </c>
      <c r="F12">
        <f>AVERAGE(D8:D12)</f>
        <v>42.4</v>
      </c>
      <c r="G12">
        <f>F12-E12</f>
        <v>-2.200000000000003</v>
      </c>
      <c r="H12" s="1">
        <v>38055</v>
      </c>
    </row>
    <row r="13" spans="1:9" ht="12.75">
      <c r="A13" s="1">
        <v>38081</v>
      </c>
      <c r="B13" t="s">
        <v>103</v>
      </c>
      <c r="C13">
        <v>47</v>
      </c>
      <c r="D13">
        <v>42</v>
      </c>
      <c r="E13">
        <f>AVERAGE(C9:C13)</f>
        <v>46</v>
      </c>
      <c r="F13">
        <f>AVERAGE(D9:D13)</f>
        <v>42.4</v>
      </c>
      <c r="G13">
        <f>F13-E13</f>
        <v>-3.6000000000000014</v>
      </c>
      <c r="H13" s="1">
        <v>38075</v>
      </c>
      <c r="I13" t="s">
        <v>46</v>
      </c>
    </row>
    <row r="14" spans="1:9" ht="12.75">
      <c r="A14" s="1">
        <v>38079</v>
      </c>
      <c r="B14" t="s">
        <v>280</v>
      </c>
      <c r="C14">
        <v>39</v>
      </c>
      <c r="D14">
        <v>43</v>
      </c>
      <c r="E14">
        <f>AVERAGE(C10:C14)</f>
        <v>44.4</v>
      </c>
      <c r="F14">
        <f>AVERAGE(D10:D14)</f>
        <v>42.6</v>
      </c>
      <c r="G14">
        <f>F14-E14</f>
        <v>-1.7999999999999972</v>
      </c>
      <c r="H14" s="1">
        <v>38076</v>
      </c>
      <c r="I14" t="s">
        <v>74</v>
      </c>
    </row>
    <row r="15" spans="1:9" ht="12.75">
      <c r="A15" s="1">
        <v>38085</v>
      </c>
      <c r="B15" t="s">
        <v>103</v>
      </c>
      <c r="C15">
        <v>48</v>
      </c>
      <c r="D15">
        <v>41</v>
      </c>
      <c r="E15">
        <f>AVERAGE(C11:C15)</f>
        <v>44.6</v>
      </c>
      <c r="F15">
        <f>AVERAGE(D11:D15)</f>
        <v>42</v>
      </c>
      <c r="G15">
        <f>F15-E15</f>
        <v>-2.6000000000000014</v>
      </c>
      <c r="H15" s="1">
        <v>38082</v>
      </c>
      <c r="I15" t="s">
        <v>74</v>
      </c>
    </row>
    <row r="16" spans="1:9" ht="12.75">
      <c r="A16" s="1">
        <v>38091</v>
      </c>
      <c r="B16" t="s">
        <v>204</v>
      </c>
      <c r="C16">
        <v>40</v>
      </c>
      <c r="D16">
        <v>47</v>
      </c>
      <c r="E16">
        <f>AVERAGE(C12:C16)</f>
        <v>43.6</v>
      </c>
      <c r="F16">
        <f>AVERAGE(D12:D16)</f>
        <v>43.2</v>
      </c>
      <c r="G16">
        <f>F16-E16</f>
        <v>-0.3999999999999986</v>
      </c>
      <c r="H16" s="1">
        <v>38085</v>
      </c>
      <c r="I16" t="s">
        <v>74</v>
      </c>
    </row>
    <row r="17" spans="1:9" ht="12.75">
      <c r="A17" s="1">
        <v>38088</v>
      </c>
      <c r="B17" t="s">
        <v>169</v>
      </c>
      <c r="C17">
        <v>39</v>
      </c>
      <c r="D17">
        <v>47</v>
      </c>
      <c r="E17">
        <f>AVERAGE(C13:C17)</f>
        <v>42.6</v>
      </c>
      <c r="F17">
        <f>AVERAGE(D13:D17)</f>
        <v>44</v>
      </c>
      <c r="G17">
        <f>F17-E17</f>
        <v>1.3999999999999986</v>
      </c>
      <c r="H17" s="1">
        <v>38085</v>
      </c>
      <c r="I17" t="s">
        <v>74</v>
      </c>
    </row>
    <row r="18" spans="1:9" ht="12.75">
      <c r="A18" s="1">
        <v>38092</v>
      </c>
      <c r="B18" t="s">
        <v>103</v>
      </c>
      <c r="C18">
        <v>49</v>
      </c>
      <c r="D18">
        <v>39</v>
      </c>
      <c r="E18">
        <f>AVERAGE(C14:C18)</f>
        <v>43</v>
      </c>
      <c r="F18">
        <f>AVERAGE(D14:D18)</f>
        <v>43.4</v>
      </c>
      <c r="G18">
        <f>F18-E18</f>
        <v>0.3999999999999986</v>
      </c>
      <c r="H18" s="1">
        <v>38089</v>
      </c>
      <c r="I18" t="s">
        <v>74</v>
      </c>
    </row>
    <row r="19" spans="1:8" ht="12.75">
      <c r="A19" s="1">
        <v>38096</v>
      </c>
      <c r="B19" t="s">
        <v>103</v>
      </c>
      <c r="C19">
        <v>48</v>
      </c>
      <c r="D19">
        <v>40</v>
      </c>
      <c r="E19">
        <f>AVERAGE(C15:C19)</f>
        <v>44.8</v>
      </c>
      <c r="F19">
        <f>AVERAGE(D15:D19)</f>
        <v>42.8</v>
      </c>
      <c r="G19">
        <f>F19-E19</f>
        <v>-2</v>
      </c>
      <c r="H19" s="1">
        <v>38096</v>
      </c>
    </row>
    <row r="20" spans="1:8" ht="12.75">
      <c r="A20" s="1">
        <v>38101</v>
      </c>
      <c r="B20" t="s">
        <v>169</v>
      </c>
      <c r="C20">
        <v>44</v>
      </c>
      <c r="D20">
        <v>43</v>
      </c>
      <c r="E20">
        <f>AVERAGE(C16:C20)</f>
        <v>44</v>
      </c>
      <c r="F20">
        <f>AVERAGE(D16:D20)</f>
        <v>43.2</v>
      </c>
      <c r="G20">
        <f>F20-E20</f>
        <v>-0.7999999999999972</v>
      </c>
      <c r="H20" s="1">
        <v>38101</v>
      </c>
    </row>
    <row r="21" spans="1:8" ht="12.75">
      <c r="A21" s="1">
        <v>38108</v>
      </c>
      <c r="B21" t="s">
        <v>280</v>
      </c>
      <c r="C21">
        <v>38</v>
      </c>
      <c r="D21">
        <v>47</v>
      </c>
      <c r="E21">
        <f>AVERAGE(C17:C21)</f>
        <v>43.6</v>
      </c>
      <c r="F21">
        <f>AVERAGE(D17:D21)</f>
        <v>43.2</v>
      </c>
      <c r="G21">
        <f>F21-E21</f>
        <v>-0.3999999999999986</v>
      </c>
      <c r="H21" s="1">
        <v>38107</v>
      </c>
    </row>
    <row r="22" spans="1:8" ht="12.75">
      <c r="A22" s="1">
        <v>38119</v>
      </c>
      <c r="B22" t="s">
        <v>101</v>
      </c>
      <c r="C22">
        <v>39</v>
      </c>
      <c r="D22">
        <v>46</v>
      </c>
      <c r="E22">
        <f>AVERAGE(C18:C22)</f>
        <v>43.6</v>
      </c>
      <c r="F22">
        <f>AVERAGE(D18:D22)</f>
        <v>43</v>
      </c>
      <c r="G22">
        <f>F22-E22</f>
        <v>-0.6000000000000014</v>
      </c>
      <c r="H22" s="1">
        <v>38112</v>
      </c>
    </row>
    <row r="23" spans="1:8" ht="12.75">
      <c r="A23" s="1">
        <v>38127</v>
      </c>
      <c r="B23" t="s">
        <v>126</v>
      </c>
      <c r="C23">
        <v>40</v>
      </c>
      <c r="D23">
        <v>48</v>
      </c>
      <c r="E23">
        <f>AVERAGE(C19:C23)</f>
        <v>41.8</v>
      </c>
      <c r="F23">
        <f>AVERAGE(D19:D23)</f>
        <v>44.8</v>
      </c>
      <c r="G23">
        <f>F23-E23</f>
        <v>3</v>
      </c>
      <c r="H23" s="1">
        <v>38124</v>
      </c>
    </row>
    <row r="24" spans="1:8" ht="12.75">
      <c r="A24" s="1">
        <v>38129</v>
      </c>
      <c r="B24" t="s">
        <v>280</v>
      </c>
      <c r="C24">
        <v>40</v>
      </c>
      <c r="D24">
        <v>46</v>
      </c>
      <c r="E24">
        <f>AVERAGE(C20:C24)</f>
        <v>40.2</v>
      </c>
      <c r="F24">
        <f>AVERAGE(D20:D24)</f>
        <v>46</v>
      </c>
      <c r="G24">
        <f>F24-E24</f>
        <v>5.799999999999997</v>
      </c>
      <c r="H24" s="1">
        <v>38126</v>
      </c>
    </row>
    <row r="25" spans="1:8" ht="12.75">
      <c r="A25" s="1">
        <v>38129</v>
      </c>
      <c r="B25" t="s">
        <v>169</v>
      </c>
      <c r="C25">
        <v>43</v>
      </c>
      <c r="D25">
        <v>45</v>
      </c>
      <c r="E25">
        <f>AVERAGE(C21:C25)</f>
        <v>40</v>
      </c>
      <c r="F25">
        <f>AVERAGE(D21:D25)</f>
        <v>46.4</v>
      </c>
      <c r="G25">
        <f>F25-E25</f>
        <v>6.399999999999999</v>
      </c>
      <c r="H25" s="1">
        <v>38127</v>
      </c>
    </row>
    <row r="26" spans="1:8" ht="12.75">
      <c r="A26" s="1">
        <v>38155</v>
      </c>
      <c r="B26" t="s">
        <v>280</v>
      </c>
      <c r="C26">
        <v>40</v>
      </c>
      <c r="D26">
        <v>52</v>
      </c>
      <c r="E26">
        <f>AVERAGE(C22:C26)</f>
        <v>40.4</v>
      </c>
      <c r="F26">
        <f>AVERAGE(D22:D26)</f>
        <v>47.4</v>
      </c>
      <c r="G26">
        <f>F26-E26</f>
        <v>7</v>
      </c>
      <c r="H26" s="1">
        <v>38153</v>
      </c>
    </row>
    <row r="27" spans="1:8" ht="12.75">
      <c r="A27" s="1">
        <v>38161</v>
      </c>
      <c r="B27" t="s">
        <v>169</v>
      </c>
      <c r="C27">
        <v>42</v>
      </c>
      <c r="D27">
        <v>46</v>
      </c>
      <c r="E27">
        <f>AVERAGE(C23:C27)</f>
        <v>41</v>
      </c>
      <c r="F27">
        <f>AVERAGE(D23:D27)</f>
        <v>47.4</v>
      </c>
      <c r="G27">
        <f>F27-E27</f>
        <v>6.399999999999999</v>
      </c>
      <c r="H27" s="1">
        <v>38160</v>
      </c>
    </row>
    <row r="28" spans="1:8" ht="12.75">
      <c r="A28" s="1">
        <v>38176</v>
      </c>
      <c r="B28" t="s">
        <v>239</v>
      </c>
      <c r="C28">
        <v>36</v>
      </c>
      <c r="D28">
        <v>46</v>
      </c>
      <c r="E28">
        <f>AVERAGE(C24:C28)</f>
        <v>40.2</v>
      </c>
      <c r="F28">
        <f>AVERAGE(D24:D28)</f>
        <v>47</v>
      </c>
      <c r="G28">
        <f>F28-E28</f>
        <v>6.799999999999997</v>
      </c>
      <c r="H28" s="1">
        <v>38167</v>
      </c>
    </row>
    <row r="29" spans="1:8" ht="12.75">
      <c r="A29" s="1">
        <v>38193</v>
      </c>
      <c r="B29" t="s">
        <v>169</v>
      </c>
      <c r="C29">
        <v>45</v>
      </c>
      <c r="D29">
        <v>51</v>
      </c>
      <c r="E29">
        <f>AVERAGE(C25:C29)</f>
        <v>41.2</v>
      </c>
      <c r="F29">
        <f>AVERAGE(D25:D29)</f>
        <v>48</v>
      </c>
      <c r="G29">
        <f>F29-E29</f>
        <v>6.799999999999997</v>
      </c>
      <c r="H29" s="1">
        <v>38190</v>
      </c>
    </row>
    <row r="30" spans="1:8" ht="12.75">
      <c r="A30" s="1">
        <v>38199</v>
      </c>
      <c r="B30" t="s">
        <v>103</v>
      </c>
      <c r="C30">
        <v>40</v>
      </c>
      <c r="D30">
        <v>49</v>
      </c>
      <c r="E30">
        <f>AVERAGE(C26:C30)</f>
        <v>40.6</v>
      </c>
      <c r="F30">
        <f>AVERAGE(D26:D30)</f>
        <v>48.8</v>
      </c>
      <c r="G30">
        <f>F30-E30</f>
        <v>8.199999999999996</v>
      </c>
      <c r="H30" s="1">
        <v>38194</v>
      </c>
    </row>
    <row r="31" spans="1:8" ht="12.75">
      <c r="A31" s="1">
        <v>38198</v>
      </c>
      <c r="B31" t="s">
        <v>280</v>
      </c>
      <c r="C31">
        <v>42</v>
      </c>
      <c r="D31">
        <v>49</v>
      </c>
      <c r="E31">
        <f>AVERAGE(C27:C31)</f>
        <v>41</v>
      </c>
      <c r="F31">
        <f>AVERAGE(D27:D31)</f>
        <v>48.2</v>
      </c>
      <c r="G31">
        <f>F31-E31</f>
        <v>7.200000000000003</v>
      </c>
      <c r="H31" s="1">
        <v>38196</v>
      </c>
    </row>
    <row r="32" spans="1:8" ht="12.75">
      <c r="A32" s="1">
        <v>38211</v>
      </c>
      <c r="B32" t="s">
        <v>180</v>
      </c>
      <c r="C32">
        <v>41</v>
      </c>
      <c r="D32">
        <v>46</v>
      </c>
      <c r="E32">
        <f>AVERAGE(C28:C32)</f>
        <v>40.8</v>
      </c>
      <c r="F32">
        <f>AVERAGE(D28:D32)</f>
        <v>48.2</v>
      </c>
      <c r="G32">
        <f>F32-E32</f>
        <v>7.400000000000006</v>
      </c>
      <c r="H32" s="1">
        <v>38208</v>
      </c>
    </row>
    <row r="33" spans="1:8" ht="12.75">
      <c r="A33" s="1">
        <v>38218</v>
      </c>
      <c r="B33" t="s">
        <v>101</v>
      </c>
      <c r="C33">
        <v>41</v>
      </c>
      <c r="D33">
        <v>46</v>
      </c>
      <c r="E33">
        <f>AVERAGE(C29:C33)</f>
        <v>41.8</v>
      </c>
      <c r="F33">
        <f>AVERAGE(D29:D33)</f>
        <v>48.2</v>
      </c>
      <c r="G33">
        <f>F33-E33</f>
        <v>6.400000000000006</v>
      </c>
      <c r="H33" s="1">
        <v>38212</v>
      </c>
    </row>
    <row r="34" spans="1:8" ht="12.75">
      <c r="A34" s="1">
        <v>38219</v>
      </c>
      <c r="B34" t="s">
        <v>169</v>
      </c>
      <c r="C34">
        <v>45</v>
      </c>
      <c r="D34">
        <v>48</v>
      </c>
      <c r="E34">
        <f>AVERAGE(C30:C34)</f>
        <v>41.8</v>
      </c>
      <c r="F34">
        <f>AVERAGE(D30:D34)</f>
        <v>47.6</v>
      </c>
      <c r="G34">
        <f>F34-E34</f>
        <v>5.800000000000004</v>
      </c>
      <c r="H34" s="1">
        <v>38217</v>
      </c>
    </row>
    <row r="35" spans="1:8" ht="12.75">
      <c r="A35" s="1">
        <v>38221</v>
      </c>
      <c r="B35" t="s">
        <v>41</v>
      </c>
      <c r="C35">
        <v>37</v>
      </c>
      <c r="D35">
        <v>46</v>
      </c>
      <c r="E35">
        <f>AVERAGE(C31:C35)</f>
        <v>41.2</v>
      </c>
      <c r="F35">
        <f>AVERAGE(D31:D35)</f>
        <v>47</v>
      </c>
      <c r="G35">
        <f>F35-E35</f>
        <v>5.799999999999997</v>
      </c>
      <c r="H35" s="1">
        <v>38217</v>
      </c>
    </row>
    <row r="36" spans="1:8" ht="12.75">
      <c r="A36" s="1">
        <v>38224</v>
      </c>
      <c r="B36" t="s">
        <v>280</v>
      </c>
      <c r="C36">
        <v>42</v>
      </c>
      <c r="D36">
        <v>49</v>
      </c>
      <c r="E36">
        <f>AVERAGE(C32:C36)</f>
        <v>41.2</v>
      </c>
      <c r="F36">
        <f>AVERAGE(D32:D36)</f>
        <v>47</v>
      </c>
      <c r="G36">
        <f>F36-E36</f>
        <v>5.799999999999997</v>
      </c>
      <c r="H36" s="1">
        <v>38222</v>
      </c>
    </row>
    <row r="37" spans="1:8" ht="12.75">
      <c r="A37" s="1">
        <v>38226</v>
      </c>
      <c r="B37" t="s">
        <v>109</v>
      </c>
      <c r="C37">
        <v>38</v>
      </c>
      <c r="D37">
        <v>47</v>
      </c>
      <c r="E37">
        <f>AVERAGE(C33:C37)</f>
        <v>40.6</v>
      </c>
      <c r="F37">
        <f>AVERAGE(D33:D37)</f>
        <v>47.2</v>
      </c>
      <c r="G37">
        <f>F37-E37</f>
        <v>6.600000000000001</v>
      </c>
      <c r="H37" s="1">
        <v>38224</v>
      </c>
    </row>
    <row r="38" spans="1:8" ht="12.75">
      <c r="A38" s="1">
        <v>38238</v>
      </c>
      <c r="B38" t="s">
        <v>214</v>
      </c>
      <c r="C38">
        <v>45</v>
      </c>
      <c r="D38">
        <v>47</v>
      </c>
      <c r="E38">
        <f>AVERAGE(C34:C38)</f>
        <v>41.4</v>
      </c>
      <c r="F38">
        <f>AVERAGE(D34:D38)</f>
        <v>47.4</v>
      </c>
      <c r="G38">
        <f>F38-E38</f>
        <v>6</v>
      </c>
      <c r="H38" s="1">
        <v>38236</v>
      </c>
    </row>
    <row r="39" spans="1:8" ht="12.75">
      <c r="A39" s="1">
        <v>38240</v>
      </c>
      <c r="B39" t="s">
        <v>103</v>
      </c>
      <c r="C39">
        <v>45</v>
      </c>
      <c r="D39">
        <v>47</v>
      </c>
      <c r="E39">
        <f>AVERAGE(C35:C39)</f>
        <v>41.4</v>
      </c>
      <c r="F39">
        <f>AVERAGE(D35:D39)</f>
        <v>47.2</v>
      </c>
      <c r="G39">
        <f>F39-E39</f>
        <v>5.800000000000004</v>
      </c>
      <c r="H39" s="1">
        <v>38236</v>
      </c>
    </row>
    <row r="40" spans="1:8" ht="12.75">
      <c r="A40" s="1">
        <v>38240</v>
      </c>
      <c r="B40" t="s">
        <v>280</v>
      </c>
      <c r="C40">
        <v>45</v>
      </c>
      <c r="D40">
        <v>48</v>
      </c>
      <c r="E40">
        <f>AVERAGE(C36:C40)</f>
        <v>43</v>
      </c>
      <c r="F40">
        <f>AVERAGE(D36:D40)</f>
        <v>47.6</v>
      </c>
      <c r="G40">
        <f>F40-E40</f>
        <v>4.600000000000001</v>
      </c>
      <c r="H40" s="1">
        <v>38238</v>
      </c>
    </row>
    <row r="41" spans="1:8" ht="12.75">
      <c r="A41" s="1">
        <v>38243</v>
      </c>
      <c r="B41" t="s">
        <v>41</v>
      </c>
      <c r="C41">
        <v>49.1</v>
      </c>
      <c r="D41">
        <v>44.3</v>
      </c>
      <c r="E41">
        <f>AVERAGE(C37:C41)</f>
        <v>44.42</v>
      </c>
      <c r="F41">
        <f>AVERAGE(D37:D41)</f>
        <v>46.660000000000004</v>
      </c>
      <c r="G41">
        <f>F41-E41</f>
        <v>2.240000000000002</v>
      </c>
      <c r="H41" s="1">
        <v>38241</v>
      </c>
    </row>
    <row r="42" spans="1:8" ht="12.75">
      <c r="A42" s="1">
        <v>38245</v>
      </c>
      <c r="B42" t="s">
        <v>169</v>
      </c>
      <c r="C42">
        <v>47</v>
      </c>
      <c r="D42">
        <v>47</v>
      </c>
      <c r="E42">
        <f>AVERAGE(C38:C42)</f>
        <v>46.22</v>
      </c>
      <c r="F42">
        <f>AVERAGE(D38:D42)</f>
        <v>46.660000000000004</v>
      </c>
      <c r="G42">
        <f>F42-E42</f>
        <v>0.44000000000000483</v>
      </c>
      <c r="H42" s="1">
        <v>38243</v>
      </c>
    </row>
    <row r="43" spans="1:8" ht="12.75">
      <c r="A43" s="1">
        <v>38249</v>
      </c>
      <c r="B43" t="s">
        <v>57</v>
      </c>
      <c r="C43">
        <v>44</v>
      </c>
      <c r="D43">
        <v>49</v>
      </c>
      <c r="E43">
        <f>AVERAGE(C39:C43)</f>
        <v>46.019999999999996</v>
      </c>
      <c r="F43">
        <f>AVERAGE(D39:D43)</f>
        <v>47.06</v>
      </c>
      <c r="G43">
        <f>F43-E43</f>
        <v>1.0400000000000063</v>
      </c>
      <c r="H43" s="1">
        <v>38244</v>
      </c>
    </row>
    <row r="44" spans="1:8" ht="12.75">
      <c r="A44" s="1">
        <v>38248</v>
      </c>
      <c r="B44" t="s">
        <v>26</v>
      </c>
      <c r="C44">
        <v>45</v>
      </c>
      <c r="D44">
        <v>45</v>
      </c>
      <c r="E44">
        <f>AVERAGE(C40:C44)</f>
        <v>46.019999999999996</v>
      </c>
      <c r="F44">
        <f>AVERAGE(D40:D44)</f>
        <v>46.660000000000004</v>
      </c>
      <c r="G44">
        <f>F44-E44</f>
        <v>0.6400000000000077</v>
      </c>
      <c r="H44" s="1">
        <v>38246</v>
      </c>
    </row>
    <row r="45" spans="1:8" ht="12.75">
      <c r="A45" s="1">
        <v>38252</v>
      </c>
      <c r="B45" t="s">
        <v>303</v>
      </c>
      <c r="C45">
        <v>44</v>
      </c>
      <c r="D45">
        <v>46</v>
      </c>
      <c r="E45">
        <f>AVERAGE(C41:C45)</f>
        <v>45.82</v>
      </c>
      <c r="F45">
        <f>AVERAGE(D41:D45)</f>
        <v>46.260000000000005</v>
      </c>
      <c r="G45">
        <f>F45-E45</f>
        <v>0.44000000000000483</v>
      </c>
      <c r="H45" s="1">
        <v>38247</v>
      </c>
    </row>
    <row r="46" spans="1:8" ht="12.75">
      <c r="A46" s="1">
        <v>38252</v>
      </c>
      <c r="B46" t="s">
        <v>169</v>
      </c>
      <c r="C46">
        <v>45</v>
      </c>
      <c r="D46">
        <v>48</v>
      </c>
      <c r="E46">
        <f>AVERAGE(C42:C46)</f>
        <v>45</v>
      </c>
      <c r="F46">
        <f>AVERAGE(D42:D46)</f>
        <v>47</v>
      </c>
      <c r="G46">
        <f>F46-E46</f>
        <v>2</v>
      </c>
      <c r="H46" s="1">
        <v>38250</v>
      </c>
    </row>
    <row r="47" spans="1:8" ht="12.75">
      <c r="A47" s="1">
        <v>38253</v>
      </c>
      <c r="B47" t="s">
        <v>59</v>
      </c>
      <c r="C47">
        <v>46</v>
      </c>
      <c r="D47">
        <v>50</v>
      </c>
      <c r="E47">
        <f>AVERAGE(C43:C47)</f>
        <v>44.8</v>
      </c>
      <c r="F47">
        <f>AVERAGE(D43:D47)</f>
        <v>47.6</v>
      </c>
      <c r="G47">
        <f>F47-E47</f>
        <v>2.8000000000000043</v>
      </c>
      <c r="H47" s="1">
        <v>38251</v>
      </c>
    </row>
    <row r="48" spans="1:8" ht="12.75">
      <c r="A48" s="1">
        <v>38255</v>
      </c>
      <c r="B48" t="s">
        <v>52</v>
      </c>
      <c r="C48">
        <v>41</v>
      </c>
      <c r="D48">
        <v>43</v>
      </c>
      <c r="E48">
        <f>AVERAGE(C44:C48)</f>
        <v>44.2</v>
      </c>
      <c r="F48">
        <f>AVERAGE(D44:D48)</f>
        <v>46.4</v>
      </c>
      <c r="G48">
        <f>F48-E48</f>
        <v>2.1999999999999957</v>
      </c>
      <c r="H48" s="1">
        <v>38251</v>
      </c>
    </row>
    <row r="49" spans="1:8" ht="12.75">
      <c r="A49" s="1">
        <v>38254</v>
      </c>
      <c r="B49" t="s">
        <v>109</v>
      </c>
      <c r="C49">
        <v>43</v>
      </c>
      <c r="D49">
        <v>51</v>
      </c>
      <c r="E49">
        <f>AVERAGE(C45:C49)</f>
        <v>43.8</v>
      </c>
      <c r="F49">
        <f>AVERAGE(D45:D49)</f>
        <v>47.6</v>
      </c>
      <c r="G49">
        <f>F49-E49</f>
        <v>3.8000000000000043</v>
      </c>
      <c r="H49" s="1">
        <v>38252</v>
      </c>
    </row>
    <row r="50" spans="1:8" ht="12.75">
      <c r="A50" s="1">
        <v>38254</v>
      </c>
      <c r="B50" t="s">
        <v>103</v>
      </c>
      <c r="C50">
        <v>46</v>
      </c>
      <c r="D50">
        <v>47</v>
      </c>
      <c r="E50">
        <f>AVERAGE(C46:C50)</f>
        <v>44.2</v>
      </c>
      <c r="F50">
        <f>AVERAGE(D46:D50)</f>
        <v>47.8</v>
      </c>
      <c r="G50">
        <f>F50-E50</f>
        <v>3.5999999999999943</v>
      </c>
      <c r="H50" s="1">
        <v>38252</v>
      </c>
    </row>
    <row r="51" spans="1:8" ht="12.75">
      <c r="A51" s="1">
        <v>38255</v>
      </c>
      <c r="B51" t="s">
        <v>169</v>
      </c>
      <c r="C51">
        <v>45</v>
      </c>
      <c r="D51">
        <v>49</v>
      </c>
      <c r="E51">
        <f>AVERAGE(C47:C51)</f>
        <v>44.2</v>
      </c>
      <c r="F51">
        <f>AVERAGE(D47:D51)</f>
        <v>48</v>
      </c>
      <c r="G51">
        <f>F51-E51</f>
        <v>3.799999999999997</v>
      </c>
      <c r="H51" s="1">
        <v>38252</v>
      </c>
    </row>
    <row r="52" spans="1:8" ht="12.75">
      <c r="A52" s="1">
        <v>38255</v>
      </c>
      <c r="B52" t="s">
        <v>126</v>
      </c>
      <c r="C52">
        <v>44</v>
      </c>
      <c r="D52">
        <v>50</v>
      </c>
      <c r="E52">
        <f>AVERAGE(C48:C52)</f>
        <v>43.8</v>
      </c>
      <c r="F52">
        <f>AVERAGE(D48:D52)</f>
        <v>48</v>
      </c>
      <c r="G52">
        <f>F52-E52</f>
        <v>4.200000000000003</v>
      </c>
      <c r="H52" s="1">
        <v>38253</v>
      </c>
    </row>
    <row r="53" spans="1:8" ht="12.75">
      <c r="A53" s="1">
        <v>38256</v>
      </c>
      <c r="B53" t="s">
        <v>95</v>
      </c>
      <c r="C53">
        <v>43</v>
      </c>
      <c r="D53">
        <v>47</v>
      </c>
      <c r="E53">
        <f>AVERAGE(C49:C53)</f>
        <v>44.2</v>
      </c>
      <c r="F53">
        <f>AVERAGE(D49:D53)</f>
        <v>48.8</v>
      </c>
      <c r="G53">
        <f>F53-E53</f>
        <v>4.599999999999994</v>
      </c>
      <c r="H53" s="1">
        <v>38254</v>
      </c>
    </row>
    <row r="54" spans="1:8" ht="12.75">
      <c r="A54" s="1">
        <v>38260</v>
      </c>
      <c r="B54" t="s">
        <v>280</v>
      </c>
      <c r="C54">
        <v>43</v>
      </c>
      <c r="D54">
        <v>49</v>
      </c>
      <c r="E54">
        <f>AVERAGE(C50:C54)</f>
        <v>44.2</v>
      </c>
      <c r="F54">
        <f>AVERAGE(D50:D54)</f>
        <v>48.4</v>
      </c>
      <c r="G54">
        <f>F54-E54</f>
        <v>4.199999999999996</v>
      </c>
      <c r="H54" s="1">
        <v>38255</v>
      </c>
    </row>
    <row r="55" spans="1:8" ht="12.75">
      <c r="A55" s="1">
        <v>38263</v>
      </c>
      <c r="B55" t="s">
        <v>95</v>
      </c>
      <c r="C55">
        <v>42</v>
      </c>
      <c r="D55">
        <v>48</v>
      </c>
      <c r="E55">
        <f>AVERAGE(C51:C55)</f>
        <v>43.4</v>
      </c>
      <c r="F55">
        <f>AVERAGE(D51:D55)</f>
        <v>48.6</v>
      </c>
      <c r="G55">
        <f>F55-E55</f>
        <v>5.200000000000003</v>
      </c>
      <c r="H55" s="1">
        <v>38256</v>
      </c>
    </row>
    <row r="56" spans="1:8" ht="12.75">
      <c r="A56" s="1">
        <v>38259</v>
      </c>
      <c r="B56" t="s">
        <v>95</v>
      </c>
      <c r="C56">
        <v>42</v>
      </c>
      <c r="D56">
        <v>49</v>
      </c>
      <c r="E56">
        <f>AVERAGE(C52:C56)</f>
        <v>42.8</v>
      </c>
      <c r="F56">
        <f>AVERAGE(D52:D56)</f>
        <v>48.6</v>
      </c>
      <c r="G56">
        <f>F56-E56</f>
        <v>5.800000000000004</v>
      </c>
      <c r="H56" s="1">
        <v>38257</v>
      </c>
    </row>
    <row r="57" spans="1:8" ht="12.75">
      <c r="A57" s="1">
        <v>38259</v>
      </c>
      <c r="B57" t="s">
        <v>214</v>
      </c>
      <c r="C57">
        <v>42</v>
      </c>
      <c r="D57">
        <v>50</v>
      </c>
      <c r="E57">
        <f>AVERAGE(C53:C57)</f>
        <v>42.4</v>
      </c>
      <c r="F57">
        <f>AVERAGE(D53:D57)</f>
        <v>48.6</v>
      </c>
      <c r="G57">
        <f>F57-E57</f>
        <v>6.200000000000003</v>
      </c>
      <c r="H57" s="1">
        <v>38257</v>
      </c>
    </row>
    <row r="58" spans="1:8" ht="12.75">
      <c r="A58" s="1">
        <v>38260</v>
      </c>
      <c r="B58" t="s">
        <v>180</v>
      </c>
      <c r="C58">
        <v>43</v>
      </c>
      <c r="D58">
        <v>48</v>
      </c>
      <c r="E58">
        <f>AVERAGE(C54:C58)</f>
        <v>42.4</v>
      </c>
      <c r="F58">
        <f>AVERAGE(D54:D58)</f>
        <v>48.8</v>
      </c>
      <c r="G58">
        <f>F58-E58</f>
        <v>6.399999999999999</v>
      </c>
      <c r="H58" s="1">
        <v>38257</v>
      </c>
    </row>
    <row r="59" spans="1:8" ht="12.75">
      <c r="A59" s="1">
        <v>38260</v>
      </c>
      <c r="B59" t="s">
        <v>280</v>
      </c>
      <c r="C59">
        <v>39</v>
      </c>
      <c r="D59">
        <v>54</v>
      </c>
      <c r="E59">
        <f>AVERAGE(C55:C59)</f>
        <v>41.6</v>
      </c>
      <c r="F59">
        <f>AVERAGE(D55:D59)</f>
        <v>49.8</v>
      </c>
      <c r="G59">
        <f>F59-E59</f>
        <v>8.199999999999996</v>
      </c>
      <c r="H59" s="1">
        <v>38258</v>
      </c>
    </row>
    <row r="60" spans="1:8" ht="12.75">
      <c r="A60" s="1">
        <v>38260</v>
      </c>
      <c r="B60" t="s">
        <v>95</v>
      </c>
      <c r="C60">
        <v>41</v>
      </c>
      <c r="D60">
        <v>49</v>
      </c>
      <c r="E60">
        <f>AVERAGE(C56:C60)</f>
        <v>41.4</v>
      </c>
      <c r="F60">
        <f>AVERAGE(D56:D60)</f>
        <v>50</v>
      </c>
      <c r="G60">
        <f>F60-E60</f>
        <v>8.600000000000001</v>
      </c>
      <c r="H60" s="1">
        <v>38258</v>
      </c>
    </row>
    <row r="61" spans="1:8" ht="12.75">
      <c r="A61" s="1">
        <v>38261</v>
      </c>
      <c r="B61" t="s">
        <v>95</v>
      </c>
      <c r="C61">
        <v>41</v>
      </c>
      <c r="D61">
        <v>48</v>
      </c>
      <c r="E61">
        <f>AVERAGE(C57:C61)</f>
        <v>41.2</v>
      </c>
      <c r="F61">
        <f>AVERAGE(D57:D61)</f>
        <v>49.8</v>
      </c>
      <c r="G61">
        <f>F61-E61</f>
        <v>8.599999999999994</v>
      </c>
      <c r="H61" s="1">
        <v>38259</v>
      </c>
    </row>
    <row r="62" spans="1:8" ht="12.75">
      <c r="A62" s="1">
        <v>38262</v>
      </c>
      <c r="B62" t="s">
        <v>95</v>
      </c>
      <c r="C62">
        <v>41</v>
      </c>
      <c r="D62">
        <v>50</v>
      </c>
      <c r="E62">
        <f>AVERAGE(C58:C62)</f>
        <v>41</v>
      </c>
      <c r="F62">
        <f>AVERAGE(D58:D62)</f>
        <v>49.8</v>
      </c>
      <c r="G62">
        <f>F62-E62</f>
        <v>8.799999999999997</v>
      </c>
      <c r="H62" s="1">
        <v>38260</v>
      </c>
    </row>
    <row r="63" spans="1:8" ht="12.75">
      <c r="A63" s="1">
        <v>38263</v>
      </c>
      <c r="B63" t="s">
        <v>95</v>
      </c>
      <c r="C63">
        <v>40</v>
      </c>
      <c r="D63">
        <v>50</v>
      </c>
      <c r="E63">
        <f>AVERAGE(C59:C63)</f>
        <v>40.4</v>
      </c>
      <c r="F63">
        <f>AVERAGE(D59:D63)</f>
        <v>50.2</v>
      </c>
      <c r="G63">
        <f>F63-E63</f>
        <v>9.800000000000004</v>
      </c>
      <c r="H63" s="1">
        <v>38261</v>
      </c>
    </row>
    <row r="64" spans="1:8" ht="12.75">
      <c r="A64" s="1">
        <v>38266</v>
      </c>
      <c r="B64" t="s">
        <v>95</v>
      </c>
      <c r="C64">
        <v>38</v>
      </c>
      <c r="D64">
        <v>49</v>
      </c>
      <c r="E64">
        <f>AVERAGE(C60:C64)</f>
        <v>40.2</v>
      </c>
      <c r="F64">
        <f>AVERAGE(D60:D64)</f>
        <v>49.2</v>
      </c>
      <c r="G64">
        <f>F64-E64</f>
        <v>9</v>
      </c>
      <c r="H64" s="1">
        <v>38264</v>
      </c>
    </row>
    <row r="65" spans="1:8" ht="12.75">
      <c r="A65" s="1">
        <v>38267</v>
      </c>
      <c r="B65" t="s">
        <v>126</v>
      </c>
      <c r="C65">
        <v>40</v>
      </c>
      <c r="D65">
        <v>55</v>
      </c>
      <c r="E65">
        <f>AVERAGE(C61:C65)</f>
        <v>40</v>
      </c>
      <c r="F65">
        <f>AVERAGE(D61:D65)</f>
        <v>50.4</v>
      </c>
      <c r="G65">
        <f>F65-E65</f>
        <v>10.399999999999999</v>
      </c>
      <c r="H65" s="1">
        <v>38265</v>
      </c>
    </row>
    <row r="66" spans="1:8" ht="12.75">
      <c r="A66" s="1">
        <v>38267</v>
      </c>
      <c r="B66" t="s">
        <v>95</v>
      </c>
      <c r="C66">
        <v>38</v>
      </c>
      <c r="D66">
        <v>48</v>
      </c>
      <c r="E66">
        <f>AVERAGE(C62:C66)</f>
        <v>39.4</v>
      </c>
      <c r="F66">
        <f>AVERAGE(D62:D66)</f>
        <v>50.4</v>
      </c>
      <c r="G66">
        <f>F66-E66</f>
        <v>11</v>
      </c>
      <c r="H66" s="1">
        <v>38265</v>
      </c>
    </row>
    <row r="67" spans="1:8" ht="12.75">
      <c r="A67" s="1">
        <v>38267</v>
      </c>
      <c r="B67" t="s">
        <v>169</v>
      </c>
      <c r="C67">
        <v>41</v>
      </c>
      <c r="D67">
        <v>54</v>
      </c>
      <c r="E67">
        <f>AVERAGE(C63:C67)</f>
        <v>39.4</v>
      </c>
      <c r="F67">
        <f>AVERAGE(D63:D67)</f>
        <v>51.2</v>
      </c>
      <c r="G67">
        <f>F67-E67</f>
        <v>11.800000000000004</v>
      </c>
      <c r="H67" s="1">
        <v>38265</v>
      </c>
    </row>
    <row r="68" spans="1:8" ht="12.75">
      <c r="A68" s="1">
        <v>38268</v>
      </c>
      <c r="B68" t="s">
        <v>103</v>
      </c>
      <c r="C68">
        <v>40</v>
      </c>
      <c r="D68">
        <v>54</v>
      </c>
      <c r="E68">
        <f>AVERAGE(C64:C68)</f>
        <v>39.4</v>
      </c>
      <c r="F68">
        <f>AVERAGE(D64:D68)</f>
        <v>52</v>
      </c>
      <c r="G68">
        <f>F68-E68</f>
        <v>12.600000000000001</v>
      </c>
      <c r="H68" s="1">
        <v>38266</v>
      </c>
    </row>
    <row r="69" spans="1:8" ht="12.75">
      <c r="A69" s="1">
        <v>38268</v>
      </c>
      <c r="B69" t="s">
        <v>95</v>
      </c>
      <c r="C69">
        <v>38</v>
      </c>
      <c r="D69">
        <v>50</v>
      </c>
      <c r="E69">
        <f>AVERAGE(C65:C69)</f>
        <v>39.4</v>
      </c>
      <c r="F69">
        <f>AVERAGE(D65:D69)</f>
        <v>52.2</v>
      </c>
      <c r="G69">
        <f>F69-E69</f>
        <v>12.800000000000004</v>
      </c>
      <c r="H69" s="1">
        <v>38266</v>
      </c>
    </row>
    <row r="70" spans="1:8" ht="12.75">
      <c r="A70" s="1">
        <v>38273</v>
      </c>
      <c r="B70" t="s">
        <v>57</v>
      </c>
      <c r="C70">
        <v>41</v>
      </c>
      <c r="D70">
        <v>53</v>
      </c>
      <c r="E70">
        <f>AVERAGE(C66:C70)</f>
        <v>39.6</v>
      </c>
      <c r="F70">
        <f>AVERAGE(D66:D70)</f>
        <v>51.8</v>
      </c>
      <c r="G70">
        <f>F70-E70</f>
        <v>12.199999999999996</v>
      </c>
      <c r="H70" s="1">
        <v>38267</v>
      </c>
    </row>
    <row r="71" spans="1:8" ht="12.75">
      <c r="A71" s="1">
        <v>38273</v>
      </c>
      <c r="B71" t="s">
        <v>95</v>
      </c>
      <c r="C71">
        <v>38</v>
      </c>
      <c r="D71">
        <v>51</v>
      </c>
      <c r="E71">
        <f>AVERAGE(C67:C71)</f>
        <v>39.6</v>
      </c>
      <c r="F71">
        <f>AVERAGE(D67:D71)</f>
        <v>52.4</v>
      </c>
      <c r="G71">
        <f>F71-E71</f>
        <v>12.799999999999997</v>
      </c>
      <c r="H71" s="1">
        <v>38267</v>
      </c>
    </row>
    <row r="72" spans="1:8" ht="12.75">
      <c r="A72" s="1">
        <v>38279</v>
      </c>
      <c r="B72" t="s">
        <v>95</v>
      </c>
      <c r="C72">
        <v>39</v>
      </c>
      <c r="D72">
        <v>50</v>
      </c>
      <c r="E72">
        <f>AVERAGE(C68:C72)</f>
        <v>39.2</v>
      </c>
      <c r="F72">
        <f>AVERAGE(D68:D72)</f>
        <v>51.6</v>
      </c>
      <c r="G72">
        <f>F72-E72</f>
        <v>12.399999999999999</v>
      </c>
      <c r="H72" s="1">
        <v>38268</v>
      </c>
    </row>
    <row r="73" spans="1:8" ht="12.75">
      <c r="A73" s="1">
        <v>38275</v>
      </c>
      <c r="B73" t="s">
        <v>95</v>
      </c>
      <c r="C73">
        <v>40</v>
      </c>
      <c r="D73">
        <v>52</v>
      </c>
      <c r="E73">
        <f>AVERAGE(C69:C73)</f>
        <v>39.2</v>
      </c>
      <c r="F73">
        <f>AVERAGE(D69:D73)</f>
        <v>51.2</v>
      </c>
      <c r="G73">
        <f>F73-E73</f>
        <v>12</v>
      </c>
      <c r="H73" s="1">
        <v>38269</v>
      </c>
    </row>
    <row r="74" spans="1:8" ht="12.75">
      <c r="A74" s="1">
        <v>38276</v>
      </c>
      <c r="B74" t="s">
        <v>95</v>
      </c>
      <c r="C74">
        <v>39</v>
      </c>
      <c r="D74">
        <v>51</v>
      </c>
      <c r="E74">
        <f>AVERAGE(C70:C74)</f>
        <v>39.4</v>
      </c>
      <c r="F74">
        <f>AVERAGE(D70:D74)</f>
        <v>51.4</v>
      </c>
      <c r="G74">
        <f>F74-E74</f>
        <v>12</v>
      </c>
      <c r="H74" s="1">
        <v>38270</v>
      </c>
    </row>
    <row r="75" spans="1:8" ht="12.75">
      <c r="A75" s="1">
        <v>38273</v>
      </c>
      <c r="B75" t="s">
        <v>95</v>
      </c>
      <c r="C75">
        <v>38</v>
      </c>
      <c r="D75">
        <v>51</v>
      </c>
      <c r="E75">
        <f>AVERAGE(C71:C75)</f>
        <v>38.8</v>
      </c>
      <c r="F75">
        <f>AVERAGE(D71:D75)</f>
        <v>51</v>
      </c>
      <c r="G75">
        <f>F75-E75</f>
        <v>12.200000000000003</v>
      </c>
      <c r="H75" s="1">
        <v>38272</v>
      </c>
    </row>
    <row r="76" spans="1:8" ht="12.75">
      <c r="A76" s="1">
        <v>38274</v>
      </c>
      <c r="B76" t="s">
        <v>126</v>
      </c>
      <c r="C76">
        <v>40</v>
      </c>
      <c r="D76">
        <v>55</v>
      </c>
      <c r="E76">
        <f>AVERAGE(C72:C76)</f>
        <v>39.2</v>
      </c>
      <c r="F76">
        <f>AVERAGE(D72:D76)</f>
        <v>51.8</v>
      </c>
      <c r="G76">
        <f>F76-E76</f>
        <v>12.599999999999994</v>
      </c>
      <c r="H76" s="1">
        <v>38272</v>
      </c>
    </row>
    <row r="77" spans="1:8" ht="12.75">
      <c r="A77" s="1">
        <v>38276</v>
      </c>
      <c r="B77" t="s">
        <v>41</v>
      </c>
      <c r="C77">
        <v>40.2</v>
      </c>
      <c r="D77">
        <v>51.6</v>
      </c>
      <c r="E77">
        <f>AVERAGE(C73:C77)</f>
        <v>39.44</v>
      </c>
      <c r="F77">
        <f>AVERAGE(D73:D77)</f>
        <v>52.120000000000005</v>
      </c>
      <c r="G77">
        <f>F77-E77</f>
        <v>12.680000000000007</v>
      </c>
      <c r="H77" s="1">
        <v>38272</v>
      </c>
    </row>
    <row r="78" spans="1:8" ht="12.75">
      <c r="A78" s="1">
        <v>38279</v>
      </c>
      <c r="B78" t="s">
        <v>95</v>
      </c>
      <c r="C78">
        <v>38</v>
      </c>
      <c r="D78">
        <v>52</v>
      </c>
      <c r="E78">
        <f>AVERAGE(C74:C78)</f>
        <v>39.04</v>
      </c>
      <c r="F78">
        <f>AVERAGE(D74:D78)</f>
        <v>52.120000000000005</v>
      </c>
      <c r="G78">
        <f>F78-E78</f>
        <v>13.080000000000005</v>
      </c>
      <c r="H78" s="1">
        <v>38273</v>
      </c>
    </row>
    <row r="79" spans="1:11" ht="12.75">
      <c r="A79" s="1">
        <v>38275</v>
      </c>
      <c r="B79" t="s">
        <v>95</v>
      </c>
      <c r="C79">
        <v>37</v>
      </c>
      <c r="D79">
        <v>53</v>
      </c>
      <c r="E79">
        <f>AVERAGE(C75:C79)</f>
        <v>38.64</v>
      </c>
      <c r="F79">
        <f>AVERAGE(D75:D79)</f>
        <v>52.52</v>
      </c>
      <c r="G79">
        <f>F79-E79</f>
        <v>13.880000000000003</v>
      </c>
      <c r="H79" s="1">
        <v>38274</v>
      </c>
      <c r="I79">
        <f>AVERAGE(C70:C79)</f>
        <v>39.019999999999996</v>
      </c>
      <c r="J79">
        <f>AVERAGE(D70:D79)</f>
        <v>51.96</v>
      </c>
      <c r="K79">
        <f>J79-I79</f>
        <v>12.940000000000005</v>
      </c>
    </row>
    <row r="80" spans="1:8" ht="12.75">
      <c r="A80" s="1">
        <v>38276</v>
      </c>
      <c r="B80" t="s">
        <v>95</v>
      </c>
      <c r="C80">
        <v>39</v>
      </c>
      <c r="D80">
        <v>53</v>
      </c>
      <c r="E80">
        <f>AVERAGE(C76:C80)</f>
        <v>38.839999999999996</v>
      </c>
      <c r="F80">
        <f>AVERAGE(D76:D80)</f>
        <v>52.92</v>
      </c>
      <c r="G80">
        <f>F80-E80</f>
        <v>14.080000000000005</v>
      </c>
      <c r="H80" s="1">
        <v>38275</v>
      </c>
    </row>
    <row r="81" spans="1:8" ht="12.75">
      <c r="A81" s="1">
        <v>38277</v>
      </c>
      <c r="B81" t="s">
        <v>95</v>
      </c>
      <c r="C81">
        <v>39</v>
      </c>
      <c r="D81">
        <v>52</v>
      </c>
      <c r="E81">
        <f>AVERAGE(C77:C81)</f>
        <v>38.64</v>
      </c>
      <c r="F81">
        <f>AVERAGE(D77:D81)</f>
        <v>52.32000000000001</v>
      </c>
      <c r="G81">
        <f>F81-E81</f>
        <v>13.680000000000007</v>
      </c>
      <c r="H81" s="1">
        <v>38276</v>
      </c>
    </row>
    <row r="82" spans="1:8" ht="12.75">
      <c r="A82" s="1">
        <v>38278</v>
      </c>
      <c r="B82" t="s">
        <v>95</v>
      </c>
      <c r="C82">
        <v>40</v>
      </c>
      <c r="D82">
        <v>52</v>
      </c>
      <c r="E82">
        <f>AVERAGE(C78:C82)</f>
        <v>38.6</v>
      </c>
      <c r="F82">
        <f>AVERAGE(D78:D82)</f>
        <v>52.4</v>
      </c>
      <c r="G82">
        <f>F82-E82</f>
        <v>13.799999999999997</v>
      </c>
      <c r="H82" s="1">
        <v>38277</v>
      </c>
    </row>
    <row r="83" spans="1:8" ht="12.75">
      <c r="A83" s="1">
        <v>38280</v>
      </c>
      <c r="B83" t="s">
        <v>101</v>
      </c>
      <c r="C83">
        <v>40</v>
      </c>
      <c r="D83">
        <v>48</v>
      </c>
      <c r="E83">
        <f>AVERAGE(C79:C83)</f>
        <v>39</v>
      </c>
      <c r="F83">
        <f>AVERAGE(D79:D83)</f>
        <v>51.6</v>
      </c>
      <c r="G83">
        <f>F83-E83</f>
        <v>12.600000000000001</v>
      </c>
      <c r="H83" s="1">
        <v>38277</v>
      </c>
    </row>
    <row r="84" spans="1:8" ht="12.75">
      <c r="A84" s="1">
        <v>38279</v>
      </c>
      <c r="B84" t="s">
        <v>95</v>
      </c>
      <c r="C84">
        <v>41</v>
      </c>
      <c r="D84">
        <v>53</v>
      </c>
      <c r="E84">
        <f>AVERAGE(C80:C84)</f>
        <v>39.8</v>
      </c>
      <c r="F84">
        <f>AVERAGE(D80:D84)</f>
        <v>51.6</v>
      </c>
      <c r="G84">
        <f>F84-E84</f>
        <v>11.800000000000004</v>
      </c>
      <c r="H84" s="1">
        <v>38278</v>
      </c>
    </row>
    <row r="85" spans="1:8" ht="12.75">
      <c r="A85" s="1">
        <v>38280</v>
      </c>
      <c r="B85" t="s">
        <v>95</v>
      </c>
      <c r="C85">
        <v>42</v>
      </c>
      <c r="D85">
        <v>52</v>
      </c>
      <c r="E85">
        <f>AVERAGE(C81:C85)</f>
        <v>40.4</v>
      </c>
      <c r="F85">
        <f>AVERAGE(D81:D85)</f>
        <v>51.4</v>
      </c>
      <c r="G85">
        <f>F85-E85</f>
        <v>11</v>
      </c>
      <c r="H85" s="1">
        <v>38279</v>
      </c>
    </row>
    <row r="86" spans="1:8" ht="12.75">
      <c r="A86" s="1">
        <v>38283</v>
      </c>
      <c r="B86" t="s">
        <v>52</v>
      </c>
      <c r="C86">
        <v>41</v>
      </c>
      <c r="D86">
        <v>51</v>
      </c>
      <c r="E86">
        <f>AVERAGE(C82:C86)</f>
        <v>40.8</v>
      </c>
      <c r="F86">
        <f>AVERAGE(D82:D86)</f>
        <v>51.2</v>
      </c>
      <c r="G86">
        <f>F86-E86</f>
        <v>10.400000000000006</v>
      </c>
      <c r="H86" s="1">
        <v>38279</v>
      </c>
    </row>
    <row r="87" spans="1:8" ht="12.75">
      <c r="A87" s="1">
        <v>38281</v>
      </c>
      <c r="B87" t="s">
        <v>95</v>
      </c>
      <c r="C87">
        <v>41</v>
      </c>
      <c r="D87">
        <v>52</v>
      </c>
      <c r="E87">
        <f>AVERAGE(C83:C87)</f>
        <v>41</v>
      </c>
      <c r="F87">
        <f>AVERAGE(D83:D87)</f>
        <v>51.2</v>
      </c>
      <c r="G87">
        <f>F87-E87</f>
        <v>10.200000000000003</v>
      </c>
      <c r="H87" s="1">
        <v>38280</v>
      </c>
    </row>
    <row r="88" spans="1:8" ht="12.75">
      <c r="A88" s="1">
        <v>38282</v>
      </c>
      <c r="B88" t="s">
        <v>280</v>
      </c>
      <c r="C88">
        <v>40</v>
      </c>
      <c r="D88">
        <v>53</v>
      </c>
      <c r="E88">
        <f>AVERAGE(C84:C88)</f>
        <v>41</v>
      </c>
      <c r="F88">
        <f>AVERAGE(D84:D88)</f>
        <v>52.2</v>
      </c>
      <c r="G88">
        <f>F88-E88</f>
        <v>11.200000000000003</v>
      </c>
      <c r="H88" s="1">
        <v>38280</v>
      </c>
    </row>
    <row r="89" spans="1:8" ht="12.75">
      <c r="A89" s="1">
        <v>38282</v>
      </c>
      <c r="B89" t="s">
        <v>95</v>
      </c>
      <c r="C89">
        <v>42</v>
      </c>
      <c r="D89">
        <v>52</v>
      </c>
      <c r="E89">
        <f>AVERAGE(C85:C89)</f>
        <v>41.2</v>
      </c>
      <c r="F89">
        <f>AVERAGE(D85:D89)</f>
        <v>52</v>
      </c>
      <c r="G89">
        <f>F89-E89</f>
        <v>10.799999999999997</v>
      </c>
      <c r="H89" s="1">
        <v>38281</v>
      </c>
    </row>
    <row r="90" spans="1:8" ht="12.75">
      <c r="A90" s="1">
        <v>38282</v>
      </c>
      <c r="B90" t="s">
        <v>296</v>
      </c>
      <c r="C90">
        <v>42</v>
      </c>
      <c r="D90">
        <v>52</v>
      </c>
      <c r="E90">
        <f>AVERAGE(C86:C90)</f>
        <v>41.2</v>
      </c>
      <c r="F90">
        <f>AVERAGE(D86:D90)</f>
        <v>52</v>
      </c>
      <c r="G90">
        <f>F90-E90</f>
        <v>10.799999999999997</v>
      </c>
      <c r="H90" s="1">
        <v>38281</v>
      </c>
    </row>
    <row r="91" spans="1:8" ht="12.75">
      <c r="A91" s="1">
        <v>38283</v>
      </c>
      <c r="B91" t="s">
        <v>126</v>
      </c>
      <c r="C91">
        <v>41</v>
      </c>
      <c r="D91">
        <v>53</v>
      </c>
      <c r="E91">
        <f>AVERAGE(C87:C91)</f>
        <v>41.2</v>
      </c>
      <c r="F91">
        <f>AVERAGE(D87:D91)</f>
        <v>52.4</v>
      </c>
      <c r="G91">
        <f>F91-E91</f>
        <v>11.199999999999996</v>
      </c>
      <c r="H91" s="1">
        <v>38281</v>
      </c>
    </row>
    <row r="92" spans="1:8" ht="12.75">
      <c r="A92" s="1">
        <v>38283</v>
      </c>
      <c r="B92" t="s">
        <v>103</v>
      </c>
      <c r="C92">
        <v>43</v>
      </c>
      <c r="D92">
        <v>50</v>
      </c>
      <c r="E92">
        <f>AVERAGE(C88:C92)</f>
        <v>41.6</v>
      </c>
      <c r="F92">
        <f>AVERAGE(D88:D92)</f>
        <v>52</v>
      </c>
      <c r="G92">
        <f>F92-E92</f>
        <v>10.399999999999999</v>
      </c>
      <c r="H92" s="1">
        <v>38281</v>
      </c>
    </row>
    <row r="93" spans="1:8" ht="12.75">
      <c r="A93" s="1">
        <v>38283</v>
      </c>
      <c r="B93" t="s">
        <v>95</v>
      </c>
      <c r="C93">
        <v>40</v>
      </c>
      <c r="D93">
        <v>52</v>
      </c>
      <c r="E93">
        <f>AVERAGE(C89:C93)</f>
        <v>41.6</v>
      </c>
      <c r="F93">
        <f>AVERAGE(D89:D93)</f>
        <v>51.8</v>
      </c>
      <c r="G93">
        <f>F93-E93</f>
        <v>10.199999999999996</v>
      </c>
      <c r="H93" s="1">
        <v>38282</v>
      </c>
    </row>
    <row r="94" spans="1:8" ht="12.75">
      <c r="A94" s="1">
        <v>38284</v>
      </c>
      <c r="B94" t="s">
        <v>95</v>
      </c>
      <c r="C94">
        <v>41</v>
      </c>
      <c r="D94">
        <v>52</v>
      </c>
      <c r="E94">
        <f>AVERAGE(C90:C94)</f>
        <v>41.4</v>
      </c>
      <c r="F94">
        <f>AVERAGE(D90:D94)</f>
        <v>51.8</v>
      </c>
      <c r="G94">
        <f>F94-E94</f>
        <v>10.399999999999999</v>
      </c>
      <c r="H94" s="1">
        <v>38283</v>
      </c>
    </row>
    <row r="95" spans="1:8" ht="12.75">
      <c r="A95" s="1">
        <v>38285</v>
      </c>
      <c r="B95" t="s">
        <v>95</v>
      </c>
      <c r="C95">
        <v>41</v>
      </c>
      <c r="D95">
        <v>53</v>
      </c>
      <c r="E95">
        <f>AVERAGE(C91:C95)</f>
        <v>41.2</v>
      </c>
      <c r="F95">
        <f>AVERAGE(D91:D95)</f>
        <v>52</v>
      </c>
      <c r="G95">
        <f>F95-E95</f>
        <v>10.799999999999997</v>
      </c>
      <c r="H95" s="1">
        <v>38284</v>
      </c>
    </row>
    <row r="96" spans="1:8" ht="12.75">
      <c r="A96" s="1">
        <v>38286</v>
      </c>
      <c r="B96" t="s">
        <v>95</v>
      </c>
      <c r="C96">
        <v>40</v>
      </c>
      <c r="D96">
        <v>53</v>
      </c>
      <c r="E96">
        <f>AVERAGE(C92:C96)</f>
        <v>41</v>
      </c>
      <c r="F96">
        <f>AVERAGE(D92:D96)</f>
        <v>52</v>
      </c>
      <c r="G96">
        <f>F96-E96</f>
        <v>11</v>
      </c>
      <c r="H96" s="1">
        <v>38285</v>
      </c>
    </row>
    <row r="97" spans="1:8" ht="12.75">
      <c r="A97" s="1">
        <v>38287</v>
      </c>
      <c r="B97" t="s">
        <v>204</v>
      </c>
      <c r="C97">
        <v>41</v>
      </c>
      <c r="D97">
        <v>50</v>
      </c>
      <c r="E97">
        <f>AVERAGE(C93:C97)</f>
        <v>40.6</v>
      </c>
      <c r="F97">
        <f>AVERAGE(D93:D97)</f>
        <v>52</v>
      </c>
      <c r="G97">
        <f>F97-E97</f>
        <v>11.399999999999999</v>
      </c>
      <c r="H97" s="1">
        <v>38285</v>
      </c>
    </row>
    <row r="98" spans="1:8" ht="12.75">
      <c r="A98" s="1">
        <v>38288</v>
      </c>
      <c r="B98" t="s">
        <v>280</v>
      </c>
      <c r="C98">
        <v>41</v>
      </c>
      <c r="D98">
        <v>53</v>
      </c>
      <c r="E98">
        <f>AVERAGE(C94:C98)</f>
        <v>40.8</v>
      </c>
      <c r="F98">
        <f>AVERAGE(D94:D98)</f>
        <v>52.2</v>
      </c>
      <c r="G98">
        <f>F98-E98</f>
        <v>11.400000000000006</v>
      </c>
      <c r="H98" s="1">
        <v>38285</v>
      </c>
    </row>
    <row r="99" spans="1:8" ht="12.75">
      <c r="A99" s="1">
        <v>38288</v>
      </c>
      <c r="B99" t="s">
        <v>4</v>
      </c>
      <c r="C99">
        <v>40</v>
      </c>
      <c r="D99">
        <v>52</v>
      </c>
      <c r="E99">
        <f>AVERAGE(C95:C99)</f>
        <v>40.6</v>
      </c>
      <c r="F99">
        <f>AVERAGE(D95:D99)</f>
        <v>52.2</v>
      </c>
      <c r="G99">
        <f>F99-E99</f>
        <v>11.600000000000001</v>
      </c>
      <c r="H99" s="1">
        <v>38285</v>
      </c>
    </row>
    <row r="100" spans="1:8" ht="12.75">
      <c r="A100" s="1">
        <v>38288</v>
      </c>
      <c r="B100" t="s">
        <v>180</v>
      </c>
      <c r="C100">
        <v>40</v>
      </c>
      <c r="D100">
        <v>53</v>
      </c>
      <c r="E100">
        <f>AVERAGE(C96:C100)</f>
        <v>40.4</v>
      </c>
      <c r="F100">
        <f>AVERAGE(D96:D100)</f>
        <v>52.2</v>
      </c>
      <c r="G100">
        <f>F100-E100</f>
        <v>11.800000000000004</v>
      </c>
      <c r="H100" s="1">
        <v>38285</v>
      </c>
    </row>
    <row r="101" spans="1:8" ht="12.75">
      <c r="A101" s="1">
        <v>38288</v>
      </c>
      <c r="B101" t="s">
        <v>289</v>
      </c>
      <c r="C101">
        <v>42</v>
      </c>
      <c r="D101">
        <v>51</v>
      </c>
      <c r="E101">
        <f>AVERAGE(C97:C101)</f>
        <v>40.8</v>
      </c>
      <c r="F101">
        <f>AVERAGE(D97:D101)</f>
        <v>51.8</v>
      </c>
      <c r="G101">
        <f>F101-E101</f>
        <v>11</v>
      </c>
      <c r="H101" s="1">
        <v>38285</v>
      </c>
    </row>
    <row r="102" spans="1:8" ht="12.75">
      <c r="A102" s="1">
        <v>38289</v>
      </c>
      <c r="B102" t="s">
        <v>57</v>
      </c>
      <c r="C102">
        <v>41</v>
      </c>
      <c r="D102">
        <v>55</v>
      </c>
      <c r="E102">
        <f>AVERAGE(C98:C102)</f>
        <v>40.8</v>
      </c>
      <c r="F102">
        <f>AVERAGE(D98:D102)</f>
        <v>52.8</v>
      </c>
      <c r="G102">
        <f>F102-E102</f>
        <v>12</v>
      </c>
      <c r="H102" s="1">
        <v>38285</v>
      </c>
    </row>
    <row r="103" spans="1:8" ht="12.75">
      <c r="A103" s="1">
        <v>38287</v>
      </c>
      <c r="B103" t="s">
        <v>95</v>
      </c>
      <c r="C103">
        <v>41</v>
      </c>
      <c r="D103">
        <v>53</v>
      </c>
      <c r="E103">
        <f>AVERAGE(C99:C103)</f>
        <v>40.8</v>
      </c>
      <c r="F103">
        <f>AVERAGE(D99:D103)</f>
        <v>52.8</v>
      </c>
      <c r="G103">
        <f>F103-E103</f>
        <v>12</v>
      </c>
      <c r="H103" s="1">
        <v>38286</v>
      </c>
    </row>
    <row r="104" spans="1:8" ht="12.75">
      <c r="A104" s="1">
        <v>38288</v>
      </c>
      <c r="B104" t="s">
        <v>169</v>
      </c>
      <c r="C104">
        <v>46</v>
      </c>
      <c r="D104">
        <v>53</v>
      </c>
      <c r="E104">
        <f>AVERAGE(C100:C104)</f>
        <v>42</v>
      </c>
      <c r="F104">
        <f>AVERAGE(D100:D104)</f>
        <v>53</v>
      </c>
      <c r="G104">
        <f>F104-E104</f>
        <v>11</v>
      </c>
      <c r="H104" s="1">
        <v>38286</v>
      </c>
    </row>
    <row r="105" spans="1:8" ht="12.75">
      <c r="A105" s="1">
        <v>38288</v>
      </c>
      <c r="B105" t="s">
        <v>95</v>
      </c>
      <c r="C105">
        <v>42</v>
      </c>
      <c r="D105">
        <v>53</v>
      </c>
      <c r="E105">
        <f>AVERAGE(C101:C105)</f>
        <v>42.4</v>
      </c>
      <c r="F105">
        <f>AVERAGE(D101:D105)</f>
        <v>53</v>
      </c>
      <c r="G105">
        <f>F105-E105</f>
        <v>10.600000000000001</v>
      </c>
      <c r="H105" s="1">
        <v>38287</v>
      </c>
    </row>
    <row r="106" spans="1:8" ht="12.75">
      <c r="A106" s="1">
        <v>38289</v>
      </c>
      <c r="B106" t="s">
        <v>109</v>
      </c>
      <c r="C106">
        <v>43</v>
      </c>
      <c r="D106">
        <v>55</v>
      </c>
      <c r="E106">
        <f>AVERAGE(C102:C106)</f>
        <v>42.6</v>
      </c>
      <c r="F106">
        <f>AVERAGE(D102:D106)</f>
        <v>53.8</v>
      </c>
      <c r="G106">
        <f>F106-E106</f>
        <v>11.199999999999996</v>
      </c>
      <c r="H106" s="1">
        <v>38287</v>
      </c>
    </row>
    <row r="107" spans="1:8" ht="12.75">
      <c r="A107" s="1">
        <v>38289</v>
      </c>
      <c r="B107" t="s">
        <v>89</v>
      </c>
      <c r="C107">
        <v>43</v>
      </c>
      <c r="D107">
        <v>47</v>
      </c>
      <c r="E107">
        <f>AVERAGE(C103:C107)</f>
        <v>43</v>
      </c>
      <c r="F107">
        <f>AVERAGE(D103:D107)</f>
        <v>52.2</v>
      </c>
      <c r="G107">
        <f>F107-E107</f>
        <v>9.200000000000003</v>
      </c>
      <c r="H107" s="1">
        <v>38287</v>
      </c>
    </row>
    <row r="108" spans="1:8" ht="12.75">
      <c r="A108" s="1">
        <v>38290</v>
      </c>
      <c r="B108" t="s">
        <v>95</v>
      </c>
      <c r="C108">
        <v>41</v>
      </c>
      <c r="D108">
        <v>54</v>
      </c>
      <c r="E108">
        <f>AVERAGE(C104:C108)</f>
        <v>43</v>
      </c>
      <c r="F108">
        <f>AVERAGE(D104:D108)</f>
        <v>52.4</v>
      </c>
      <c r="G108">
        <f>F108-E108</f>
        <v>9.399999999999999</v>
      </c>
      <c r="H108" s="1">
        <v>38288</v>
      </c>
    </row>
    <row r="109" spans="1:8" ht="12.75">
      <c r="A109" s="1">
        <v>38291</v>
      </c>
      <c r="B109" t="s">
        <v>103</v>
      </c>
      <c r="C109">
        <v>44</v>
      </c>
      <c r="D109">
        <v>49</v>
      </c>
      <c r="E109">
        <f>AVERAGE(C105:C109)</f>
        <v>42.6</v>
      </c>
      <c r="F109">
        <f>AVERAGE(D105:D109)</f>
        <v>51.6</v>
      </c>
      <c r="G109">
        <f>F109-E109</f>
        <v>9</v>
      </c>
      <c r="H109" s="1">
        <v>38288</v>
      </c>
    </row>
    <row r="110" spans="1:8" ht="12.75">
      <c r="A110" s="1">
        <v>38292</v>
      </c>
      <c r="B110" t="s">
        <v>303</v>
      </c>
      <c r="C110">
        <v>43</v>
      </c>
      <c r="D110">
        <v>47</v>
      </c>
      <c r="E110">
        <f>AVERAGE(C106:C110)</f>
        <v>42.8</v>
      </c>
      <c r="F110">
        <f>AVERAGE(D106:D110)</f>
        <v>50.4</v>
      </c>
      <c r="G110">
        <f>F110-E110</f>
        <v>7.600000000000001</v>
      </c>
      <c r="H110" s="1">
        <v>38288</v>
      </c>
    </row>
    <row r="111" spans="1:8" ht="12.75">
      <c r="A111" s="1">
        <v>38291</v>
      </c>
      <c r="B111" t="s">
        <v>169</v>
      </c>
      <c r="C111">
        <v>47</v>
      </c>
      <c r="D111">
        <v>51</v>
      </c>
      <c r="E111">
        <f>AVERAGE(C107:C111)</f>
        <v>43.6</v>
      </c>
      <c r="F111">
        <f>AVERAGE(D107:D111)</f>
        <v>49.6</v>
      </c>
      <c r="G111">
        <f>F111-E111</f>
        <v>6</v>
      </c>
      <c r="H111" s="1">
        <v>38289</v>
      </c>
    </row>
    <row r="112" spans="1:8" ht="12.75">
      <c r="A112" s="1">
        <v>38291</v>
      </c>
      <c r="B112" t="s">
        <v>95</v>
      </c>
      <c r="C112">
        <v>44</v>
      </c>
      <c r="D112">
        <v>52</v>
      </c>
      <c r="E112">
        <f>AVERAGE(C108:C112)</f>
        <v>43.8</v>
      </c>
      <c r="F112">
        <f>AVERAGE(D108:D112)</f>
        <v>50.6</v>
      </c>
      <c r="G112">
        <f>F112-E112</f>
        <v>6.800000000000004</v>
      </c>
      <c r="H112" s="1">
        <v>38290</v>
      </c>
    </row>
    <row r="113" spans="1:8" ht="12.75">
      <c r="A113" s="1">
        <v>38292</v>
      </c>
      <c r="B113" t="s">
        <v>59</v>
      </c>
      <c r="C113">
        <v>45</v>
      </c>
      <c r="D113">
        <v>51</v>
      </c>
      <c r="E113">
        <f>AVERAGE(C109:C113)</f>
        <v>44.6</v>
      </c>
      <c r="F113">
        <f>AVERAGE(D109:D113)</f>
        <v>50</v>
      </c>
      <c r="G113">
        <f>F113-E113</f>
        <v>5.399999999999999</v>
      </c>
      <c r="H113" s="1">
        <v>38290</v>
      </c>
    </row>
    <row r="114" spans="1:8" ht="12.75">
      <c r="A114" s="1">
        <v>38292</v>
      </c>
      <c r="B114" t="s">
        <v>95</v>
      </c>
      <c r="C114">
        <v>45</v>
      </c>
      <c r="D114">
        <v>52</v>
      </c>
      <c r="E114">
        <f>AVERAGE(C110:C114)</f>
        <v>44.8</v>
      </c>
      <c r="F114">
        <f>AVERAGE(D110:D114)</f>
        <v>50.6</v>
      </c>
      <c r="G114">
        <f>F114-E114</f>
        <v>5.800000000000004</v>
      </c>
      <c r="H114" s="1">
        <v>38291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C11" sqref="C11"/>
    </sheetView>
  </sheetViews>
  <sheetFormatPr defaultColWidth="11.00390625" defaultRowHeight="12.75"/>
  <sheetData>
    <row r="3" spans="3:7" ht="12.75">
      <c r="C3" s="3" t="s">
        <v>279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38027</v>
      </c>
      <c r="B5" t="s">
        <v>170</v>
      </c>
      <c r="C5">
        <v>30</v>
      </c>
      <c r="D5">
        <v>42</v>
      </c>
      <c r="E5">
        <f aca="true" t="shared" si="0" ref="E5:F14">AVERAGE(C1:C5)</f>
        <v>30</v>
      </c>
      <c r="F5">
        <f t="shared" si="0"/>
        <v>42</v>
      </c>
      <c r="G5">
        <f aca="true" t="shared" si="1" ref="G5:G14">F5-E5</f>
        <v>12</v>
      </c>
      <c r="H5" s="1">
        <v>38026</v>
      </c>
    </row>
    <row r="6" spans="1:8" ht="12.75">
      <c r="A6" s="1">
        <v>38051</v>
      </c>
      <c r="B6" t="s">
        <v>126</v>
      </c>
      <c r="C6">
        <v>38</v>
      </c>
      <c r="D6">
        <v>53</v>
      </c>
      <c r="E6">
        <f t="shared" si="0"/>
        <v>34</v>
      </c>
      <c r="F6">
        <f t="shared" si="0"/>
        <v>47.5</v>
      </c>
      <c r="G6">
        <f t="shared" si="1"/>
        <v>13.5</v>
      </c>
      <c r="H6" s="1">
        <v>38044</v>
      </c>
    </row>
    <row r="7" spans="1:8" ht="12.75">
      <c r="A7" s="1">
        <v>38171</v>
      </c>
      <c r="B7" t="s">
        <v>84</v>
      </c>
      <c r="C7">
        <v>25</v>
      </c>
      <c r="D7">
        <v>53</v>
      </c>
      <c r="E7">
        <f t="shared" si="0"/>
        <v>31</v>
      </c>
      <c r="F7">
        <f t="shared" si="0"/>
        <v>49.333333333333336</v>
      </c>
      <c r="G7">
        <f t="shared" si="1"/>
        <v>18.333333333333336</v>
      </c>
      <c r="H7" s="1">
        <v>38164</v>
      </c>
    </row>
    <row r="8" spans="1:8" ht="12.75">
      <c r="A8" s="1">
        <v>38173</v>
      </c>
      <c r="B8" t="s">
        <v>169</v>
      </c>
      <c r="C8">
        <v>31</v>
      </c>
      <c r="D8">
        <v>55</v>
      </c>
      <c r="E8">
        <f t="shared" si="0"/>
        <v>31</v>
      </c>
      <c r="F8">
        <f t="shared" si="0"/>
        <v>50.75</v>
      </c>
      <c r="G8">
        <f t="shared" si="1"/>
        <v>19.75</v>
      </c>
      <c r="H8" s="1">
        <v>38168</v>
      </c>
    </row>
    <row r="9" spans="1:8" ht="12.75">
      <c r="A9" s="1">
        <v>38225</v>
      </c>
      <c r="B9" t="s">
        <v>170</v>
      </c>
      <c r="C9">
        <v>30</v>
      </c>
      <c r="D9">
        <v>51</v>
      </c>
      <c r="E9">
        <f t="shared" si="0"/>
        <v>30.8</v>
      </c>
      <c r="F9">
        <f t="shared" si="0"/>
        <v>50.8</v>
      </c>
      <c r="G9">
        <f t="shared" si="1"/>
        <v>19.999999999999996</v>
      </c>
      <c r="H9" s="1">
        <v>38218</v>
      </c>
    </row>
    <row r="10" spans="1:8" ht="12.75">
      <c r="A10" s="1">
        <v>38247</v>
      </c>
      <c r="B10" t="s">
        <v>169</v>
      </c>
      <c r="C10">
        <v>39</v>
      </c>
      <c r="D10">
        <v>58</v>
      </c>
      <c r="E10">
        <f t="shared" si="0"/>
        <v>32.6</v>
      </c>
      <c r="F10">
        <f t="shared" si="0"/>
        <v>54</v>
      </c>
      <c r="G10">
        <f t="shared" si="1"/>
        <v>21.4</v>
      </c>
      <c r="H10" s="1">
        <v>38242</v>
      </c>
    </row>
    <row r="11" spans="1:8" ht="12.75">
      <c r="A11" s="1">
        <v>38247</v>
      </c>
      <c r="B11" t="s">
        <v>59</v>
      </c>
      <c r="C11">
        <v>33</v>
      </c>
      <c r="D11">
        <v>59</v>
      </c>
      <c r="E11">
        <f t="shared" si="0"/>
        <v>31.6</v>
      </c>
      <c r="F11">
        <f t="shared" si="0"/>
        <v>55.2</v>
      </c>
      <c r="G11">
        <f t="shared" si="1"/>
        <v>23.6</v>
      </c>
      <c r="H11" s="1">
        <v>38242</v>
      </c>
    </row>
    <row r="12" spans="1:8" ht="12.75">
      <c r="A12" s="1">
        <v>38252</v>
      </c>
      <c r="B12" t="s">
        <v>170</v>
      </c>
      <c r="C12">
        <v>34</v>
      </c>
      <c r="D12">
        <v>47</v>
      </c>
      <c r="E12">
        <f t="shared" si="0"/>
        <v>33.4</v>
      </c>
      <c r="F12">
        <f t="shared" si="0"/>
        <v>54</v>
      </c>
      <c r="G12">
        <f t="shared" si="1"/>
        <v>20.6</v>
      </c>
      <c r="H12" s="1">
        <v>38245</v>
      </c>
    </row>
    <row r="13" spans="1:8" ht="12.75">
      <c r="A13" s="1">
        <v>38256</v>
      </c>
      <c r="B13" t="s">
        <v>84</v>
      </c>
      <c r="C13">
        <v>31</v>
      </c>
      <c r="D13">
        <v>45</v>
      </c>
      <c r="E13">
        <f t="shared" si="0"/>
        <v>33.4</v>
      </c>
      <c r="F13">
        <f t="shared" si="0"/>
        <v>52</v>
      </c>
      <c r="G13">
        <f t="shared" si="1"/>
        <v>18.6</v>
      </c>
      <c r="H13" s="1">
        <v>38253</v>
      </c>
    </row>
    <row r="14" spans="1:8" ht="12.75">
      <c r="A14" s="1">
        <v>38266</v>
      </c>
      <c r="B14" t="s">
        <v>314</v>
      </c>
      <c r="C14">
        <v>26</v>
      </c>
      <c r="D14">
        <v>48</v>
      </c>
      <c r="E14">
        <f t="shared" si="0"/>
        <v>32.6</v>
      </c>
      <c r="F14">
        <f t="shared" si="0"/>
        <v>51.4</v>
      </c>
      <c r="G14">
        <f t="shared" si="1"/>
        <v>18.799999999999997</v>
      </c>
      <c r="H14" s="1">
        <v>38260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C15" sqref="C15"/>
    </sheetView>
  </sheetViews>
  <sheetFormatPr defaultColWidth="11.00390625" defaultRowHeight="12.75"/>
  <sheetData>
    <row r="3" spans="3:7" ht="12.75">
      <c r="C3" s="3" t="s">
        <v>78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48</v>
      </c>
      <c r="D5">
        <v>45</v>
      </c>
      <c r="E5">
        <f aca="true" t="shared" si="0" ref="E5:E19">AVERAGE(C1:C5)</f>
        <v>48</v>
      </c>
      <c r="F5">
        <f aca="true" t="shared" si="1" ref="F5:F19">AVERAGE(D1:D5)</f>
        <v>45</v>
      </c>
      <c r="G5">
        <f aca="true" t="shared" si="2" ref="G5:G19">F5-E5</f>
        <v>-3</v>
      </c>
      <c r="H5" s="1">
        <v>38044</v>
      </c>
    </row>
    <row r="6" spans="1:8" ht="12.75">
      <c r="A6" s="1">
        <v>38147</v>
      </c>
      <c r="B6" t="s">
        <v>169</v>
      </c>
      <c r="C6">
        <v>48</v>
      </c>
      <c r="D6">
        <v>39</v>
      </c>
      <c r="E6">
        <f t="shared" si="0"/>
        <v>48</v>
      </c>
      <c r="F6">
        <f t="shared" si="1"/>
        <v>42</v>
      </c>
      <c r="G6">
        <f t="shared" si="2"/>
        <v>-6</v>
      </c>
      <c r="H6" s="1">
        <v>38146</v>
      </c>
    </row>
    <row r="7" spans="1:8" ht="12.75">
      <c r="A7" s="1">
        <v>38176</v>
      </c>
      <c r="B7" t="s">
        <v>239</v>
      </c>
      <c r="C7">
        <v>41</v>
      </c>
      <c r="D7">
        <v>42</v>
      </c>
      <c r="E7">
        <f t="shared" si="0"/>
        <v>45.666666666666664</v>
      </c>
      <c r="F7">
        <f t="shared" si="1"/>
        <v>42</v>
      </c>
      <c r="G7">
        <f t="shared" si="2"/>
        <v>-3.6666666666666643</v>
      </c>
      <c r="H7" s="1">
        <v>38167</v>
      </c>
    </row>
    <row r="8" spans="1:8" ht="12.75">
      <c r="A8" s="1">
        <v>38183</v>
      </c>
      <c r="B8" t="s">
        <v>93</v>
      </c>
      <c r="C8">
        <v>45</v>
      </c>
      <c r="D8">
        <v>39</v>
      </c>
      <c r="E8">
        <f t="shared" si="0"/>
        <v>45.5</v>
      </c>
      <c r="F8">
        <f t="shared" si="1"/>
        <v>41.25</v>
      </c>
      <c r="G8">
        <f t="shared" si="2"/>
        <v>-4.25</v>
      </c>
      <c r="H8" s="1">
        <v>38178</v>
      </c>
    </row>
    <row r="9" spans="1:8" ht="12.75">
      <c r="A9" s="1">
        <v>38193</v>
      </c>
      <c r="B9" t="s">
        <v>36</v>
      </c>
      <c r="C9">
        <v>53</v>
      </c>
      <c r="D9">
        <v>40</v>
      </c>
      <c r="E9">
        <f t="shared" si="0"/>
        <v>47</v>
      </c>
      <c r="F9">
        <f t="shared" si="1"/>
        <v>41</v>
      </c>
      <c r="G9">
        <f t="shared" si="2"/>
        <v>-6</v>
      </c>
      <c r="H9" s="1">
        <v>38190</v>
      </c>
    </row>
    <row r="10" spans="1:8" ht="12.75">
      <c r="A10" s="1">
        <v>38247</v>
      </c>
      <c r="B10" t="s">
        <v>59</v>
      </c>
      <c r="C10">
        <v>59</v>
      </c>
      <c r="D10">
        <v>37</v>
      </c>
      <c r="E10">
        <f t="shared" si="0"/>
        <v>49.2</v>
      </c>
      <c r="F10">
        <f t="shared" si="1"/>
        <v>39.4</v>
      </c>
      <c r="G10">
        <f t="shared" si="2"/>
        <v>-9.800000000000004</v>
      </c>
      <c r="H10" s="1">
        <v>38244</v>
      </c>
    </row>
    <row r="11" spans="1:8" ht="12.75">
      <c r="A11" s="1">
        <v>38249</v>
      </c>
      <c r="B11" t="s">
        <v>169</v>
      </c>
      <c r="C11">
        <v>51</v>
      </c>
      <c r="D11">
        <v>45</v>
      </c>
      <c r="E11">
        <f t="shared" si="0"/>
        <v>49.8</v>
      </c>
      <c r="F11">
        <f t="shared" si="1"/>
        <v>40.6</v>
      </c>
      <c r="G11">
        <f t="shared" si="2"/>
        <v>-9.199999999999996</v>
      </c>
      <c r="H11" s="1">
        <v>38247</v>
      </c>
    </row>
    <row r="12" spans="1:8" ht="12.75">
      <c r="A12" s="1">
        <v>38254</v>
      </c>
      <c r="B12" t="s">
        <v>126</v>
      </c>
      <c r="C12">
        <v>58</v>
      </c>
      <c r="D12">
        <v>39</v>
      </c>
      <c r="E12">
        <f t="shared" si="0"/>
        <v>53.2</v>
      </c>
      <c r="F12">
        <f t="shared" si="1"/>
        <v>40</v>
      </c>
      <c r="G12">
        <f t="shared" si="2"/>
        <v>-13.200000000000003</v>
      </c>
      <c r="H12" s="1">
        <v>38251</v>
      </c>
    </row>
    <row r="13" spans="1:8" ht="12.75">
      <c r="A13" s="1">
        <v>38261</v>
      </c>
      <c r="B13" t="s">
        <v>262</v>
      </c>
      <c r="C13">
        <v>53</v>
      </c>
      <c r="D13">
        <v>40</v>
      </c>
      <c r="E13">
        <f t="shared" si="0"/>
        <v>54.8</v>
      </c>
      <c r="F13">
        <f t="shared" si="1"/>
        <v>40.2</v>
      </c>
      <c r="G13">
        <f t="shared" si="2"/>
        <v>-14.599999999999994</v>
      </c>
      <c r="H13" s="1">
        <v>38252</v>
      </c>
    </row>
    <row r="14" spans="1:8" ht="12.75">
      <c r="A14" s="1">
        <v>38256</v>
      </c>
      <c r="B14" t="s">
        <v>81</v>
      </c>
      <c r="C14">
        <v>54</v>
      </c>
      <c r="D14">
        <v>39</v>
      </c>
      <c r="E14">
        <f t="shared" si="0"/>
        <v>55</v>
      </c>
      <c r="F14">
        <f t="shared" si="1"/>
        <v>40</v>
      </c>
      <c r="G14">
        <f t="shared" si="2"/>
        <v>-15</v>
      </c>
      <c r="H14" s="1">
        <v>38253</v>
      </c>
    </row>
    <row r="15" spans="1:8" ht="12.75">
      <c r="A15" s="1">
        <v>38274</v>
      </c>
      <c r="B15" t="s">
        <v>126</v>
      </c>
      <c r="C15">
        <v>55</v>
      </c>
      <c r="D15">
        <v>41</v>
      </c>
      <c r="E15">
        <f t="shared" si="0"/>
        <v>54.2</v>
      </c>
      <c r="F15">
        <f t="shared" si="1"/>
        <v>40.8</v>
      </c>
      <c r="G15">
        <f t="shared" si="2"/>
        <v>-13.400000000000006</v>
      </c>
      <c r="H15" s="1">
        <v>38272</v>
      </c>
    </row>
    <row r="16" spans="1:8" ht="12.75">
      <c r="A16" s="1">
        <v>38283</v>
      </c>
      <c r="B16" t="s">
        <v>148</v>
      </c>
      <c r="C16">
        <v>55</v>
      </c>
      <c r="D16">
        <v>35</v>
      </c>
      <c r="E16">
        <f t="shared" si="0"/>
        <v>55</v>
      </c>
      <c r="F16">
        <f t="shared" si="1"/>
        <v>38.8</v>
      </c>
      <c r="G16">
        <f t="shared" si="2"/>
        <v>-16.200000000000003</v>
      </c>
      <c r="H16" s="1">
        <v>38278</v>
      </c>
    </row>
    <row r="17" spans="1:8" ht="12.75">
      <c r="A17" s="1">
        <v>38279</v>
      </c>
      <c r="B17" t="s">
        <v>169</v>
      </c>
      <c r="C17">
        <v>54</v>
      </c>
      <c r="D17">
        <v>43</v>
      </c>
      <c r="E17">
        <f t="shared" si="0"/>
        <v>54.2</v>
      </c>
      <c r="F17">
        <f t="shared" si="1"/>
        <v>39.6</v>
      </c>
      <c r="G17">
        <f t="shared" si="2"/>
        <v>-14.600000000000001</v>
      </c>
      <c r="H17" s="1">
        <v>38279</v>
      </c>
    </row>
    <row r="18" spans="1:8" ht="12.75">
      <c r="A18" s="1">
        <v>38290</v>
      </c>
      <c r="B18" t="s">
        <v>303</v>
      </c>
      <c r="C18">
        <v>53</v>
      </c>
      <c r="D18">
        <v>42</v>
      </c>
      <c r="E18">
        <f t="shared" si="0"/>
        <v>54.2</v>
      </c>
      <c r="F18">
        <f t="shared" si="1"/>
        <v>40</v>
      </c>
      <c r="G18">
        <f t="shared" si="2"/>
        <v>-14.200000000000003</v>
      </c>
      <c r="H18" s="1">
        <v>38287</v>
      </c>
    </row>
    <row r="19" spans="1:8" ht="12.75">
      <c r="A19" s="1">
        <v>38290</v>
      </c>
      <c r="B19" t="s">
        <v>126</v>
      </c>
      <c r="C19">
        <v>52</v>
      </c>
      <c r="D19">
        <v>44</v>
      </c>
      <c r="E19">
        <f t="shared" si="0"/>
        <v>53.8</v>
      </c>
      <c r="F19">
        <f t="shared" si="1"/>
        <v>41</v>
      </c>
      <c r="G19">
        <f t="shared" si="2"/>
        <v>-12.799999999999997</v>
      </c>
      <c r="H19" s="1">
        <v>38288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C8" sqref="C8"/>
    </sheetView>
  </sheetViews>
  <sheetFormatPr defaultColWidth="11.00390625" defaultRowHeight="12.75"/>
  <sheetData>
    <row r="3" spans="3:7" ht="12.75">
      <c r="C3" s="3" t="s">
        <v>79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9" ht="12.75">
      <c r="A5" s="1">
        <v>38051</v>
      </c>
      <c r="B5" t="s">
        <v>126</v>
      </c>
      <c r="C5">
        <v>47</v>
      </c>
      <c r="D5">
        <v>43</v>
      </c>
      <c r="E5">
        <f aca="true" t="shared" si="0" ref="E5:F12">AVERAGE(C1:C5)</f>
        <v>47</v>
      </c>
      <c r="F5">
        <f t="shared" si="0"/>
        <v>43</v>
      </c>
      <c r="G5">
        <f aca="true" t="shared" si="1" ref="G5:G12">F5-E5</f>
        <v>-4</v>
      </c>
      <c r="H5" s="1">
        <v>38044</v>
      </c>
      <c r="I5">
        <f aca="true" t="shared" si="2" ref="I5:I12">D5-C5</f>
        <v>-4</v>
      </c>
    </row>
    <row r="6" spans="1:9" ht="12.75">
      <c r="A6" s="1">
        <v>38122</v>
      </c>
      <c r="B6" t="s">
        <v>169</v>
      </c>
      <c r="C6">
        <v>48</v>
      </c>
      <c r="D6">
        <v>38</v>
      </c>
      <c r="E6">
        <f t="shared" si="0"/>
        <v>47.5</v>
      </c>
      <c r="F6">
        <f t="shared" si="0"/>
        <v>40.5</v>
      </c>
      <c r="G6">
        <f t="shared" si="1"/>
        <v>-7</v>
      </c>
      <c r="H6" s="1">
        <v>38049</v>
      </c>
      <c r="I6">
        <f t="shared" si="2"/>
        <v>-10</v>
      </c>
    </row>
    <row r="7" spans="1:9" ht="12.75">
      <c r="A7" s="1">
        <v>38122</v>
      </c>
      <c r="B7" t="s">
        <v>129</v>
      </c>
      <c r="C7">
        <v>51</v>
      </c>
      <c r="D7">
        <v>34</v>
      </c>
      <c r="E7">
        <f t="shared" si="0"/>
        <v>48.666666666666664</v>
      </c>
      <c r="F7">
        <f t="shared" si="0"/>
        <v>38.333333333333336</v>
      </c>
      <c r="G7">
        <f t="shared" si="1"/>
        <v>-10.333333333333329</v>
      </c>
      <c r="H7" s="1">
        <v>38079</v>
      </c>
      <c r="I7">
        <f t="shared" si="2"/>
        <v>-17</v>
      </c>
    </row>
    <row r="8" spans="1:9" ht="12.75">
      <c r="A8" s="1">
        <v>38182</v>
      </c>
      <c r="B8" t="s">
        <v>169</v>
      </c>
      <c r="C8">
        <v>44</v>
      </c>
      <c r="D8">
        <v>40</v>
      </c>
      <c r="E8">
        <f t="shared" si="0"/>
        <v>47.5</v>
      </c>
      <c r="F8">
        <f t="shared" si="0"/>
        <v>38.75</v>
      </c>
      <c r="G8">
        <f t="shared" si="1"/>
        <v>-8.75</v>
      </c>
      <c r="H8" s="1">
        <v>38176</v>
      </c>
      <c r="I8">
        <f t="shared" si="2"/>
        <v>-4</v>
      </c>
    </row>
    <row r="9" spans="1:9" ht="12.75">
      <c r="A9" s="1">
        <v>38245</v>
      </c>
      <c r="B9" t="s">
        <v>169</v>
      </c>
      <c r="C9">
        <v>54</v>
      </c>
      <c r="D9">
        <v>37</v>
      </c>
      <c r="E9">
        <f t="shared" si="0"/>
        <v>48.8</v>
      </c>
      <c r="F9">
        <f t="shared" si="0"/>
        <v>38.4</v>
      </c>
      <c r="G9">
        <f t="shared" si="1"/>
        <v>-10.399999999999999</v>
      </c>
      <c r="H9" s="1">
        <v>38238</v>
      </c>
      <c r="I9">
        <f t="shared" si="2"/>
        <v>-17</v>
      </c>
    </row>
    <row r="10" spans="1:9" ht="12.75">
      <c r="A10" s="1">
        <v>38252</v>
      </c>
      <c r="B10" t="s">
        <v>59</v>
      </c>
      <c r="C10">
        <v>55</v>
      </c>
      <c r="D10">
        <v>39</v>
      </c>
      <c r="E10">
        <f t="shared" si="0"/>
        <v>50.4</v>
      </c>
      <c r="F10">
        <f t="shared" si="0"/>
        <v>37.6</v>
      </c>
      <c r="G10">
        <f t="shared" si="1"/>
        <v>-12.799999999999997</v>
      </c>
      <c r="H10" s="1">
        <v>38249</v>
      </c>
      <c r="I10">
        <f t="shared" si="2"/>
        <v>-16</v>
      </c>
    </row>
    <row r="11" spans="1:9" ht="12.75">
      <c r="A11" s="1">
        <v>38282</v>
      </c>
      <c r="B11" t="s">
        <v>297</v>
      </c>
      <c r="C11">
        <v>48</v>
      </c>
      <c r="D11">
        <v>41</v>
      </c>
      <c r="E11">
        <f t="shared" si="0"/>
        <v>50.4</v>
      </c>
      <c r="F11">
        <f t="shared" si="0"/>
        <v>38.2</v>
      </c>
      <c r="G11">
        <f t="shared" si="1"/>
        <v>-12.199999999999996</v>
      </c>
      <c r="H11" s="1">
        <v>38274</v>
      </c>
      <c r="I11">
        <f t="shared" si="2"/>
        <v>-7</v>
      </c>
    </row>
    <row r="12" spans="1:9" ht="12.75">
      <c r="A12" s="1">
        <v>38285</v>
      </c>
      <c r="B12" t="s">
        <v>81</v>
      </c>
      <c r="C12">
        <v>50</v>
      </c>
      <c r="D12">
        <v>41</v>
      </c>
      <c r="E12">
        <f t="shared" si="0"/>
        <v>50.2</v>
      </c>
      <c r="F12">
        <f t="shared" si="0"/>
        <v>39.6</v>
      </c>
      <c r="G12">
        <f t="shared" si="1"/>
        <v>-10.600000000000001</v>
      </c>
      <c r="H12" s="1">
        <v>38283</v>
      </c>
      <c r="I12">
        <f t="shared" si="2"/>
        <v>-9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C15" sqref="C15"/>
    </sheetView>
  </sheetViews>
  <sheetFormatPr defaultColWidth="11.00390625" defaultRowHeight="12.75"/>
  <sheetData>
    <row r="3" spans="3:7" ht="12.75">
      <c r="C3" s="3" t="s">
        <v>299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38044</v>
      </c>
      <c r="B5" t="s">
        <v>282</v>
      </c>
      <c r="C5">
        <v>50</v>
      </c>
      <c r="D5">
        <v>36</v>
      </c>
      <c r="E5">
        <f aca="true" t="shared" si="0" ref="E5:E19">AVERAGE(C1:C5)</f>
        <v>50</v>
      </c>
      <c r="F5">
        <f aca="true" t="shared" si="1" ref="F5:F19">AVERAGE(D1:D5)</f>
        <v>36</v>
      </c>
      <c r="G5">
        <f aca="true" t="shared" si="2" ref="G5:G19">F5-E5</f>
        <v>-14</v>
      </c>
      <c r="H5" s="1">
        <v>38039</v>
      </c>
    </row>
    <row r="6" spans="1:8" ht="12.75">
      <c r="A6" s="1">
        <v>38051</v>
      </c>
      <c r="B6" t="s">
        <v>126</v>
      </c>
      <c r="C6">
        <v>54</v>
      </c>
      <c r="D6">
        <v>38</v>
      </c>
      <c r="E6">
        <f t="shared" si="0"/>
        <v>52</v>
      </c>
      <c r="F6">
        <f t="shared" si="1"/>
        <v>37</v>
      </c>
      <c r="G6">
        <f t="shared" si="2"/>
        <v>-15</v>
      </c>
      <c r="H6" s="1">
        <v>38044</v>
      </c>
    </row>
    <row r="7" spans="1:8" ht="12.75">
      <c r="A7" s="1">
        <v>38122</v>
      </c>
      <c r="B7" t="s">
        <v>82</v>
      </c>
      <c r="C7">
        <v>53</v>
      </c>
      <c r="D7">
        <v>36</v>
      </c>
      <c r="E7">
        <f t="shared" si="0"/>
        <v>52.333333333333336</v>
      </c>
      <c r="F7">
        <f t="shared" si="1"/>
        <v>36.666666666666664</v>
      </c>
      <c r="G7">
        <f t="shared" si="2"/>
        <v>-15.666666666666671</v>
      </c>
      <c r="H7" s="1">
        <v>38054</v>
      </c>
    </row>
    <row r="8" spans="1:8" ht="12.75">
      <c r="A8" s="1">
        <v>38084</v>
      </c>
      <c r="B8" t="s">
        <v>169</v>
      </c>
      <c r="C8">
        <v>58</v>
      </c>
      <c r="D8">
        <v>31</v>
      </c>
      <c r="E8">
        <f t="shared" si="0"/>
        <v>53.75</v>
      </c>
      <c r="F8">
        <f t="shared" si="1"/>
        <v>35.25</v>
      </c>
      <c r="G8">
        <f t="shared" si="2"/>
        <v>-18.5</v>
      </c>
      <c r="H8" s="1">
        <v>38079</v>
      </c>
    </row>
    <row r="9" spans="1:8" ht="12.75">
      <c r="A9" s="1">
        <v>38164</v>
      </c>
      <c r="B9" t="s">
        <v>169</v>
      </c>
      <c r="C9">
        <v>51</v>
      </c>
      <c r="D9">
        <v>36</v>
      </c>
      <c r="E9">
        <f t="shared" si="0"/>
        <v>53.2</v>
      </c>
      <c r="F9">
        <f t="shared" si="1"/>
        <v>35.4</v>
      </c>
      <c r="G9">
        <f t="shared" si="2"/>
        <v>-17.800000000000004</v>
      </c>
      <c r="H9" s="1">
        <v>38161</v>
      </c>
    </row>
    <row r="10" spans="1:8" ht="12.75">
      <c r="A10" s="1">
        <v>38176</v>
      </c>
      <c r="B10" t="s">
        <v>239</v>
      </c>
      <c r="C10">
        <v>41</v>
      </c>
      <c r="D10">
        <v>36</v>
      </c>
      <c r="E10">
        <f t="shared" si="0"/>
        <v>51.4</v>
      </c>
      <c r="F10">
        <f t="shared" si="1"/>
        <v>35.4</v>
      </c>
      <c r="G10">
        <f t="shared" si="2"/>
        <v>-16</v>
      </c>
      <c r="H10" s="1">
        <v>38167</v>
      </c>
    </row>
    <row r="11" spans="1:8" ht="12.75">
      <c r="A11" s="1">
        <v>38217</v>
      </c>
      <c r="B11" t="s">
        <v>82</v>
      </c>
      <c r="C11">
        <v>51</v>
      </c>
      <c r="D11">
        <v>36</v>
      </c>
      <c r="E11">
        <f t="shared" si="0"/>
        <v>50.8</v>
      </c>
      <c r="F11">
        <f t="shared" si="1"/>
        <v>35</v>
      </c>
      <c r="G11">
        <f t="shared" si="2"/>
        <v>-15.799999999999997</v>
      </c>
      <c r="H11" s="1">
        <v>38210</v>
      </c>
    </row>
    <row r="12" spans="1:8" ht="12.75">
      <c r="A12" s="1">
        <v>38249</v>
      </c>
      <c r="B12" t="s">
        <v>59</v>
      </c>
      <c r="C12">
        <v>59</v>
      </c>
      <c r="D12">
        <v>36</v>
      </c>
      <c r="E12">
        <f t="shared" si="0"/>
        <v>52</v>
      </c>
      <c r="F12">
        <f t="shared" si="1"/>
        <v>35</v>
      </c>
      <c r="G12">
        <f t="shared" si="2"/>
        <v>-17</v>
      </c>
      <c r="H12" s="1">
        <v>38217</v>
      </c>
    </row>
    <row r="13" spans="1:8" ht="12.75">
      <c r="A13" s="1">
        <v>38221</v>
      </c>
      <c r="B13" t="s">
        <v>169</v>
      </c>
      <c r="C13">
        <v>60</v>
      </c>
      <c r="D13">
        <v>35</v>
      </c>
      <c r="E13">
        <f t="shared" si="0"/>
        <v>52.4</v>
      </c>
      <c r="F13">
        <f t="shared" si="1"/>
        <v>35.8</v>
      </c>
      <c r="G13">
        <f t="shared" si="2"/>
        <v>-16.6</v>
      </c>
      <c r="H13" s="1">
        <v>38218</v>
      </c>
    </row>
    <row r="14" spans="1:8" ht="12.75">
      <c r="A14" s="1">
        <v>38258</v>
      </c>
      <c r="B14" t="s">
        <v>89</v>
      </c>
      <c r="C14">
        <v>55</v>
      </c>
      <c r="D14">
        <v>39</v>
      </c>
      <c r="E14">
        <f t="shared" si="0"/>
        <v>53.2</v>
      </c>
      <c r="F14">
        <f t="shared" si="1"/>
        <v>36.4</v>
      </c>
      <c r="G14">
        <f t="shared" si="2"/>
        <v>-16.800000000000004</v>
      </c>
      <c r="H14" s="1">
        <v>38253</v>
      </c>
    </row>
    <row r="15" spans="1:8" ht="12.75">
      <c r="A15" s="1">
        <v>38259</v>
      </c>
      <c r="B15" t="s">
        <v>282</v>
      </c>
      <c r="C15">
        <v>48</v>
      </c>
      <c r="D15">
        <v>36</v>
      </c>
      <c r="E15">
        <f t="shared" si="0"/>
        <v>54.6</v>
      </c>
      <c r="F15">
        <f t="shared" si="1"/>
        <v>36.4</v>
      </c>
      <c r="G15">
        <f t="shared" si="2"/>
        <v>-18.200000000000003</v>
      </c>
      <c r="H15" s="1">
        <v>38256</v>
      </c>
    </row>
    <row r="16" spans="1:8" ht="12.75">
      <c r="A16" s="1">
        <v>38261</v>
      </c>
      <c r="B16" t="s">
        <v>169</v>
      </c>
      <c r="C16">
        <v>58</v>
      </c>
      <c r="D16">
        <v>39</v>
      </c>
      <c r="E16">
        <f t="shared" si="0"/>
        <v>56</v>
      </c>
      <c r="F16">
        <f t="shared" si="1"/>
        <v>37</v>
      </c>
      <c r="G16">
        <f t="shared" si="2"/>
        <v>-19</v>
      </c>
      <c r="H16" s="1">
        <v>38259</v>
      </c>
    </row>
    <row r="17" spans="1:8" ht="12.75">
      <c r="A17" s="1">
        <v>38276</v>
      </c>
      <c r="B17" t="s">
        <v>82</v>
      </c>
      <c r="C17">
        <v>54</v>
      </c>
      <c r="D17">
        <v>39</v>
      </c>
      <c r="E17">
        <f t="shared" si="0"/>
        <v>55</v>
      </c>
      <c r="F17">
        <f t="shared" si="1"/>
        <v>37.6</v>
      </c>
      <c r="G17">
        <f t="shared" si="2"/>
        <v>-17.4</v>
      </c>
      <c r="H17" s="1">
        <v>38274</v>
      </c>
    </row>
    <row r="18" spans="1:8" ht="12.75">
      <c r="A18" s="1">
        <v>38282</v>
      </c>
      <c r="B18" t="s">
        <v>169</v>
      </c>
      <c r="C18">
        <v>54</v>
      </c>
      <c r="D18">
        <v>42</v>
      </c>
      <c r="E18">
        <f t="shared" si="0"/>
        <v>53.8</v>
      </c>
      <c r="F18">
        <f t="shared" si="1"/>
        <v>39</v>
      </c>
      <c r="G18">
        <f t="shared" si="2"/>
        <v>-14.799999999999997</v>
      </c>
      <c r="H18" s="1">
        <v>38275</v>
      </c>
    </row>
    <row r="19" spans="1:8" ht="12.75">
      <c r="A19" s="1">
        <v>38285</v>
      </c>
      <c r="B19" t="s">
        <v>81</v>
      </c>
      <c r="C19">
        <v>54</v>
      </c>
      <c r="D19">
        <v>38</v>
      </c>
      <c r="E19">
        <f t="shared" si="0"/>
        <v>53.6</v>
      </c>
      <c r="F19">
        <f t="shared" si="1"/>
        <v>38.8</v>
      </c>
      <c r="G19">
        <f t="shared" si="2"/>
        <v>-14.800000000000004</v>
      </c>
      <c r="H19" s="1">
        <v>38281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C20" sqref="C20"/>
    </sheetView>
  </sheetViews>
  <sheetFormatPr defaultColWidth="11.00390625" defaultRowHeight="12.75"/>
  <sheetData>
    <row r="3" spans="3:7" ht="12.75">
      <c r="C3" s="3" t="s">
        <v>80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38092</v>
      </c>
      <c r="B5" t="s">
        <v>182</v>
      </c>
      <c r="C5">
        <v>52</v>
      </c>
      <c r="D5">
        <v>44</v>
      </c>
      <c r="E5">
        <f aca="true" t="shared" si="0" ref="E5:F24">AVERAGE(C1:C5)</f>
        <v>52</v>
      </c>
      <c r="F5">
        <f t="shared" si="0"/>
        <v>44</v>
      </c>
      <c r="G5">
        <f aca="true" t="shared" si="1" ref="G5:G24">F5-E5</f>
        <v>-8</v>
      </c>
      <c r="H5" s="1">
        <v>38033</v>
      </c>
    </row>
    <row r="6" spans="1:8" ht="12.75">
      <c r="A6" s="1">
        <v>38092</v>
      </c>
      <c r="B6" t="s">
        <v>126</v>
      </c>
      <c r="C6">
        <v>49</v>
      </c>
      <c r="D6">
        <v>41</v>
      </c>
      <c r="E6">
        <f t="shared" si="0"/>
        <v>50.5</v>
      </c>
      <c r="F6">
        <f t="shared" si="0"/>
        <v>42.5</v>
      </c>
      <c r="G6">
        <f t="shared" si="1"/>
        <v>-8</v>
      </c>
      <c r="H6" s="1">
        <v>38041</v>
      </c>
    </row>
    <row r="7" spans="1:8" ht="12.75">
      <c r="A7" s="1">
        <v>38051</v>
      </c>
      <c r="B7" t="s">
        <v>126</v>
      </c>
      <c r="C7">
        <v>47</v>
      </c>
      <c r="D7">
        <v>46</v>
      </c>
      <c r="E7">
        <f t="shared" si="0"/>
        <v>49.333333333333336</v>
      </c>
      <c r="F7">
        <f t="shared" si="0"/>
        <v>43.666666666666664</v>
      </c>
      <c r="G7">
        <f t="shared" si="1"/>
        <v>-5.666666666666671</v>
      </c>
      <c r="H7" s="1">
        <v>38044</v>
      </c>
    </row>
    <row r="8" spans="1:8" ht="12.75">
      <c r="A8" s="1">
        <v>38136</v>
      </c>
      <c r="B8" t="s">
        <v>33</v>
      </c>
      <c r="C8">
        <v>52</v>
      </c>
      <c r="D8">
        <v>35</v>
      </c>
      <c r="E8">
        <f t="shared" si="0"/>
        <v>50</v>
      </c>
      <c r="F8">
        <f t="shared" si="0"/>
        <v>41.5</v>
      </c>
      <c r="G8">
        <f t="shared" si="1"/>
        <v>-8.5</v>
      </c>
      <c r="H8" s="1">
        <v>38101</v>
      </c>
    </row>
    <row r="9" spans="1:8" ht="12.75">
      <c r="A9" s="1">
        <v>38112</v>
      </c>
      <c r="B9" t="s">
        <v>169</v>
      </c>
      <c r="C9">
        <v>48</v>
      </c>
      <c r="D9">
        <v>43</v>
      </c>
      <c r="E9">
        <f t="shared" si="0"/>
        <v>49.6</v>
      </c>
      <c r="F9">
        <f t="shared" si="0"/>
        <v>41.8</v>
      </c>
      <c r="G9">
        <f t="shared" si="1"/>
        <v>-7.800000000000004</v>
      </c>
      <c r="H9" s="1">
        <v>38107</v>
      </c>
    </row>
    <row r="10" spans="1:8" ht="12.75">
      <c r="A10" s="1">
        <v>38114</v>
      </c>
      <c r="B10" t="s">
        <v>208</v>
      </c>
      <c r="C10">
        <v>52</v>
      </c>
      <c r="D10">
        <v>39</v>
      </c>
      <c r="E10">
        <f t="shared" si="0"/>
        <v>49.6</v>
      </c>
      <c r="F10">
        <f t="shared" si="0"/>
        <v>40.8</v>
      </c>
      <c r="G10">
        <f t="shared" si="1"/>
        <v>-8.800000000000004</v>
      </c>
      <c r="H10" s="1">
        <v>38113</v>
      </c>
    </row>
    <row r="11" spans="1:8" ht="12.75">
      <c r="A11" s="1">
        <v>38136</v>
      </c>
      <c r="B11" t="s">
        <v>33</v>
      </c>
      <c r="C11">
        <v>52</v>
      </c>
      <c r="D11">
        <v>36</v>
      </c>
      <c r="E11">
        <f t="shared" si="0"/>
        <v>50.2</v>
      </c>
      <c r="F11">
        <f t="shared" si="0"/>
        <v>39.8</v>
      </c>
      <c r="G11">
        <f t="shared" si="1"/>
        <v>-10.400000000000006</v>
      </c>
      <c r="H11" s="1">
        <v>38135</v>
      </c>
    </row>
    <row r="12" spans="1:8" ht="12.75">
      <c r="A12" s="1">
        <v>38147</v>
      </c>
      <c r="B12" t="s">
        <v>169</v>
      </c>
      <c r="C12">
        <v>52</v>
      </c>
      <c r="D12">
        <v>39</v>
      </c>
      <c r="E12">
        <f t="shared" si="0"/>
        <v>51.2</v>
      </c>
      <c r="F12">
        <f t="shared" si="0"/>
        <v>38.4</v>
      </c>
      <c r="G12">
        <f t="shared" si="1"/>
        <v>-12.800000000000004</v>
      </c>
      <c r="H12" s="1">
        <v>38139</v>
      </c>
    </row>
    <row r="13" spans="1:8" ht="12.75">
      <c r="A13" s="1">
        <v>38164</v>
      </c>
      <c r="B13" t="s">
        <v>298</v>
      </c>
      <c r="C13">
        <v>43</v>
      </c>
      <c r="D13">
        <v>38</v>
      </c>
      <c r="E13">
        <f t="shared" si="0"/>
        <v>49.4</v>
      </c>
      <c r="F13">
        <f t="shared" si="0"/>
        <v>39</v>
      </c>
      <c r="G13">
        <f t="shared" si="1"/>
        <v>-10.399999999999999</v>
      </c>
      <c r="H13" s="1">
        <v>38157</v>
      </c>
    </row>
    <row r="14" spans="1:8" ht="12.75">
      <c r="A14" s="1">
        <v>38165</v>
      </c>
      <c r="B14" t="s">
        <v>169</v>
      </c>
      <c r="C14">
        <v>48</v>
      </c>
      <c r="D14">
        <v>39</v>
      </c>
      <c r="E14">
        <f t="shared" si="0"/>
        <v>49.4</v>
      </c>
      <c r="F14">
        <f t="shared" si="0"/>
        <v>38.2</v>
      </c>
      <c r="G14">
        <f t="shared" si="1"/>
        <v>-11.199999999999996</v>
      </c>
      <c r="H14" s="1">
        <v>38165</v>
      </c>
    </row>
    <row r="15" spans="1:8" ht="12.75">
      <c r="A15" s="1">
        <v>38176</v>
      </c>
      <c r="B15" t="s">
        <v>239</v>
      </c>
      <c r="C15">
        <v>42</v>
      </c>
      <c r="D15">
        <v>39</v>
      </c>
      <c r="E15">
        <f t="shared" si="0"/>
        <v>47.4</v>
      </c>
      <c r="F15">
        <f t="shared" si="0"/>
        <v>38.2</v>
      </c>
      <c r="G15">
        <f t="shared" si="1"/>
        <v>-9.199999999999996</v>
      </c>
      <c r="H15" s="1">
        <v>38167</v>
      </c>
    </row>
    <row r="16" spans="1:8" ht="12.75">
      <c r="A16" s="1">
        <v>38199</v>
      </c>
      <c r="B16" t="s">
        <v>169</v>
      </c>
      <c r="C16">
        <v>50</v>
      </c>
      <c r="D16">
        <v>41</v>
      </c>
      <c r="E16">
        <f t="shared" si="0"/>
        <v>47</v>
      </c>
      <c r="F16">
        <f t="shared" si="0"/>
        <v>39.2</v>
      </c>
      <c r="G16">
        <f t="shared" si="1"/>
        <v>-7.799999999999997</v>
      </c>
      <c r="H16" s="1">
        <v>38197</v>
      </c>
    </row>
    <row r="17" spans="1:8" ht="12.75">
      <c r="A17" s="1">
        <v>38213</v>
      </c>
      <c r="B17" t="s">
        <v>237</v>
      </c>
      <c r="C17">
        <v>43</v>
      </c>
      <c r="D17">
        <v>33</v>
      </c>
      <c r="E17">
        <f t="shared" si="0"/>
        <v>45.2</v>
      </c>
      <c r="F17">
        <f t="shared" si="0"/>
        <v>38</v>
      </c>
      <c r="G17">
        <f t="shared" si="1"/>
        <v>-7.200000000000003</v>
      </c>
      <c r="H17" s="1">
        <v>38197</v>
      </c>
    </row>
    <row r="18" spans="1:8" ht="12.75">
      <c r="A18" s="1">
        <v>38224</v>
      </c>
      <c r="B18" t="s">
        <v>169</v>
      </c>
      <c r="C18">
        <v>54</v>
      </c>
      <c r="D18">
        <v>44</v>
      </c>
      <c r="E18">
        <f t="shared" si="0"/>
        <v>47.4</v>
      </c>
      <c r="F18">
        <f t="shared" si="0"/>
        <v>39.2</v>
      </c>
      <c r="G18">
        <f t="shared" si="1"/>
        <v>-8.199999999999996</v>
      </c>
      <c r="H18" s="1">
        <v>38219</v>
      </c>
    </row>
    <row r="19" spans="1:8" ht="12.75">
      <c r="A19" s="1">
        <v>38247</v>
      </c>
      <c r="B19" t="s">
        <v>59</v>
      </c>
      <c r="C19">
        <v>57</v>
      </c>
      <c r="D19">
        <v>36</v>
      </c>
      <c r="E19">
        <f t="shared" si="0"/>
        <v>49.2</v>
      </c>
      <c r="F19">
        <f t="shared" si="0"/>
        <v>38.6</v>
      </c>
      <c r="G19">
        <f t="shared" si="1"/>
        <v>-10.600000000000001</v>
      </c>
      <c r="H19" s="1">
        <v>38242</v>
      </c>
    </row>
    <row r="20" spans="1:8" ht="12.75">
      <c r="A20" s="1">
        <v>38259</v>
      </c>
      <c r="B20" t="s">
        <v>169</v>
      </c>
      <c r="C20">
        <v>52</v>
      </c>
      <c r="D20">
        <v>43</v>
      </c>
      <c r="E20">
        <f t="shared" si="0"/>
        <v>51.2</v>
      </c>
      <c r="F20">
        <f t="shared" si="0"/>
        <v>39.4</v>
      </c>
      <c r="G20">
        <f t="shared" si="1"/>
        <v>-11.800000000000004</v>
      </c>
      <c r="H20" s="1">
        <v>38259</v>
      </c>
    </row>
    <row r="21" spans="1:8" ht="12.75">
      <c r="A21" s="1">
        <v>38269</v>
      </c>
      <c r="B21" t="s">
        <v>59</v>
      </c>
      <c r="C21">
        <v>57</v>
      </c>
      <c r="D21">
        <v>38</v>
      </c>
      <c r="E21">
        <f t="shared" si="0"/>
        <v>52.6</v>
      </c>
      <c r="F21">
        <f t="shared" si="0"/>
        <v>38.8</v>
      </c>
      <c r="G21">
        <f t="shared" si="1"/>
        <v>-13.800000000000004</v>
      </c>
      <c r="H21" s="1">
        <v>38267</v>
      </c>
    </row>
    <row r="22" spans="1:11" ht="12.75">
      <c r="A22" s="1">
        <v>38277</v>
      </c>
      <c r="B22" t="s">
        <v>81</v>
      </c>
      <c r="C22">
        <v>52</v>
      </c>
      <c r="D22">
        <v>40</v>
      </c>
      <c r="E22">
        <f t="shared" si="0"/>
        <v>54.4</v>
      </c>
      <c r="F22">
        <f t="shared" si="0"/>
        <v>40.2</v>
      </c>
      <c r="G22">
        <f t="shared" si="1"/>
        <v>-14.199999999999996</v>
      </c>
      <c r="H22" s="1">
        <v>38274</v>
      </c>
      <c r="I22">
        <f>AVERAGE(C21:C22)</f>
        <v>54.5</v>
      </c>
      <c r="J22">
        <f>AVERAGE(D21:D22)</f>
        <v>39</v>
      </c>
      <c r="K22">
        <f>J22-I22</f>
        <v>-15.5</v>
      </c>
    </row>
    <row r="23" spans="1:8" ht="12.75">
      <c r="A23" s="1">
        <v>38283</v>
      </c>
      <c r="B23" t="s">
        <v>169</v>
      </c>
      <c r="C23">
        <v>54</v>
      </c>
      <c r="D23">
        <v>44</v>
      </c>
      <c r="E23">
        <f t="shared" si="0"/>
        <v>54.4</v>
      </c>
      <c r="F23">
        <f t="shared" si="0"/>
        <v>40.2</v>
      </c>
      <c r="G23">
        <f t="shared" si="1"/>
        <v>-14.199999999999996</v>
      </c>
      <c r="H23" s="1">
        <v>38280</v>
      </c>
    </row>
    <row r="24" spans="1:8" ht="12.75">
      <c r="A24" s="1">
        <v>38290</v>
      </c>
      <c r="B24" t="s">
        <v>237</v>
      </c>
      <c r="C24">
        <v>51</v>
      </c>
      <c r="D24">
        <v>40</v>
      </c>
      <c r="E24">
        <f t="shared" si="0"/>
        <v>53.2</v>
      </c>
      <c r="F24">
        <f t="shared" si="0"/>
        <v>41</v>
      </c>
      <c r="G24">
        <f t="shared" si="1"/>
        <v>-12.200000000000003</v>
      </c>
      <c r="H24" s="1">
        <v>38281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3:H14"/>
  <sheetViews>
    <sheetView zoomScalePageLayoutView="0" workbookViewId="0" topLeftCell="A1">
      <selection activeCell="H15" sqref="H15"/>
    </sheetView>
  </sheetViews>
  <sheetFormatPr defaultColWidth="11.00390625" defaultRowHeight="12.75"/>
  <sheetData>
    <row r="3" spans="3:7" ht="12.75">
      <c r="C3" s="3" t="s">
        <v>83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50</v>
      </c>
      <c r="D5">
        <v>39</v>
      </c>
      <c r="E5">
        <f aca="true" t="shared" si="0" ref="E5:F14">AVERAGE(C1:C5)</f>
        <v>50</v>
      </c>
      <c r="F5">
        <f t="shared" si="0"/>
        <v>39</v>
      </c>
      <c r="G5">
        <f aca="true" t="shared" si="1" ref="G5:G14">F5-E5</f>
        <v>-11</v>
      </c>
      <c r="H5" s="1">
        <v>38044</v>
      </c>
    </row>
    <row r="6" spans="1:8" ht="12.75">
      <c r="A6" s="1">
        <v>38128</v>
      </c>
      <c r="B6" t="s">
        <v>285</v>
      </c>
      <c r="C6">
        <v>62</v>
      </c>
      <c r="D6">
        <v>27</v>
      </c>
      <c r="E6">
        <f t="shared" si="0"/>
        <v>56</v>
      </c>
      <c r="F6">
        <f t="shared" si="0"/>
        <v>33</v>
      </c>
      <c r="G6">
        <f t="shared" si="1"/>
        <v>-23</v>
      </c>
      <c r="H6" s="1">
        <v>38125</v>
      </c>
    </row>
    <row r="7" spans="1:8" ht="12.75">
      <c r="A7" s="1">
        <v>38161</v>
      </c>
      <c r="B7" t="s">
        <v>285</v>
      </c>
      <c r="C7">
        <v>57</v>
      </c>
      <c r="D7">
        <v>29</v>
      </c>
      <c r="E7">
        <f t="shared" si="0"/>
        <v>56.333333333333336</v>
      </c>
      <c r="F7">
        <f t="shared" si="0"/>
        <v>31.666666666666668</v>
      </c>
      <c r="G7">
        <f t="shared" si="1"/>
        <v>-24.666666666666668</v>
      </c>
      <c r="H7" s="1">
        <v>38160</v>
      </c>
    </row>
    <row r="8" spans="1:8" ht="12.75">
      <c r="A8" s="1">
        <v>38161</v>
      </c>
      <c r="B8" t="s">
        <v>169</v>
      </c>
      <c r="C8">
        <v>52</v>
      </c>
      <c r="D8">
        <v>33</v>
      </c>
      <c r="E8">
        <f t="shared" si="0"/>
        <v>55.25</v>
      </c>
      <c r="F8">
        <f t="shared" si="0"/>
        <v>32</v>
      </c>
      <c r="G8">
        <f t="shared" si="1"/>
        <v>-23.25</v>
      </c>
      <c r="H8" s="1">
        <v>38160</v>
      </c>
    </row>
    <row r="9" spans="1:8" ht="12.75">
      <c r="A9" s="1">
        <v>38223</v>
      </c>
      <c r="B9" t="s">
        <v>301</v>
      </c>
      <c r="C9">
        <v>62</v>
      </c>
      <c r="D9">
        <v>23</v>
      </c>
      <c r="E9">
        <f t="shared" si="0"/>
        <v>56.6</v>
      </c>
      <c r="F9">
        <f t="shared" si="0"/>
        <v>30.2</v>
      </c>
      <c r="G9">
        <f t="shared" si="1"/>
        <v>-26.400000000000002</v>
      </c>
      <c r="H9" s="1">
        <v>38213</v>
      </c>
    </row>
    <row r="10" spans="1:8" ht="12.75">
      <c r="A10" s="1">
        <v>38245</v>
      </c>
      <c r="B10" t="s">
        <v>169</v>
      </c>
      <c r="C10">
        <v>64</v>
      </c>
      <c r="D10">
        <v>32</v>
      </c>
      <c r="E10">
        <f t="shared" si="0"/>
        <v>59.4</v>
      </c>
      <c r="F10">
        <f t="shared" si="0"/>
        <v>28.8</v>
      </c>
      <c r="G10">
        <f t="shared" si="1"/>
        <v>-30.599999999999998</v>
      </c>
      <c r="H10" s="1">
        <v>38239</v>
      </c>
    </row>
    <row r="11" spans="1:8" ht="12.75">
      <c r="A11" s="1">
        <v>38245</v>
      </c>
      <c r="B11" t="s">
        <v>285</v>
      </c>
      <c r="C11">
        <v>62</v>
      </c>
      <c r="D11">
        <v>24</v>
      </c>
      <c r="E11">
        <f t="shared" si="0"/>
        <v>59.4</v>
      </c>
      <c r="F11">
        <f t="shared" si="0"/>
        <v>28.2</v>
      </c>
      <c r="G11">
        <f t="shared" si="1"/>
        <v>-31.2</v>
      </c>
      <c r="H11" s="1">
        <v>38240</v>
      </c>
    </row>
    <row r="12" spans="1:8" ht="12.75">
      <c r="A12" s="1">
        <v>38247</v>
      </c>
      <c r="B12" t="s">
        <v>59</v>
      </c>
      <c r="C12">
        <v>65</v>
      </c>
      <c r="D12">
        <v>29</v>
      </c>
      <c r="E12">
        <f t="shared" si="0"/>
        <v>61</v>
      </c>
      <c r="F12">
        <f t="shared" si="0"/>
        <v>28.2</v>
      </c>
      <c r="G12">
        <f t="shared" si="1"/>
        <v>-32.8</v>
      </c>
      <c r="H12" s="1">
        <v>38242</v>
      </c>
    </row>
    <row r="13" spans="1:8" ht="12.75">
      <c r="A13" s="1">
        <v>38289</v>
      </c>
      <c r="B13" t="s">
        <v>301</v>
      </c>
      <c r="C13">
        <v>55</v>
      </c>
      <c r="D13">
        <v>32</v>
      </c>
      <c r="E13">
        <f t="shared" si="0"/>
        <v>61.6</v>
      </c>
      <c r="F13">
        <f t="shared" si="0"/>
        <v>28</v>
      </c>
      <c r="G13">
        <f t="shared" si="1"/>
        <v>-33.6</v>
      </c>
      <c r="H13" s="1">
        <v>38284</v>
      </c>
    </row>
    <row r="14" spans="1:8" ht="12.75">
      <c r="A14" s="1">
        <v>38292</v>
      </c>
      <c r="B14" t="s">
        <v>285</v>
      </c>
      <c r="C14">
        <v>57</v>
      </c>
      <c r="D14">
        <v>32</v>
      </c>
      <c r="E14">
        <f t="shared" si="0"/>
        <v>60.6</v>
      </c>
      <c r="F14">
        <f t="shared" si="0"/>
        <v>29.8</v>
      </c>
      <c r="G14">
        <f t="shared" si="1"/>
        <v>-30.8</v>
      </c>
      <c r="H14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3:H12"/>
  <sheetViews>
    <sheetView zoomScalePageLayoutView="0" workbookViewId="0" topLeftCell="A1">
      <selection activeCell="C8" sqref="C8"/>
    </sheetView>
  </sheetViews>
  <sheetFormatPr defaultColWidth="11.00390625" defaultRowHeight="12.75"/>
  <sheetData>
    <row r="3" spans="3:7" ht="12.75">
      <c r="C3" s="3" t="s">
        <v>86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38121</v>
      </c>
      <c r="B5" t="s">
        <v>134</v>
      </c>
      <c r="C5">
        <v>36</v>
      </c>
      <c r="D5">
        <v>57</v>
      </c>
      <c r="E5">
        <f aca="true" t="shared" si="0" ref="E5:F12">AVERAGE(C1:C5)</f>
        <v>36</v>
      </c>
      <c r="F5">
        <f t="shared" si="0"/>
        <v>57</v>
      </c>
      <c r="G5">
        <f aca="true" t="shared" si="1" ref="G5:G12">F5-E5</f>
        <v>21</v>
      </c>
      <c r="H5" s="1">
        <v>38037</v>
      </c>
    </row>
    <row r="6" spans="1:8" ht="12.75">
      <c r="A6" s="1">
        <v>38051</v>
      </c>
      <c r="B6" t="s">
        <v>126</v>
      </c>
      <c r="C6">
        <v>29</v>
      </c>
      <c r="D6">
        <v>63</v>
      </c>
      <c r="E6">
        <f t="shared" si="0"/>
        <v>32.5</v>
      </c>
      <c r="F6">
        <f t="shared" si="0"/>
        <v>60</v>
      </c>
      <c r="G6">
        <f t="shared" si="1"/>
        <v>27.5</v>
      </c>
      <c r="H6" s="1">
        <v>38044</v>
      </c>
    </row>
    <row r="7" spans="1:8" ht="12.75">
      <c r="A7" s="1">
        <v>38248</v>
      </c>
      <c r="B7" t="s">
        <v>21</v>
      </c>
      <c r="C7">
        <v>36</v>
      </c>
      <c r="D7">
        <v>60</v>
      </c>
      <c r="E7">
        <f t="shared" si="0"/>
        <v>33.666666666666664</v>
      </c>
      <c r="F7">
        <f t="shared" si="0"/>
        <v>60</v>
      </c>
      <c r="G7">
        <f t="shared" si="1"/>
        <v>26.333333333333336</v>
      </c>
      <c r="H7" s="1">
        <v>38242</v>
      </c>
    </row>
    <row r="8" spans="1:8" ht="12.75">
      <c r="A8" s="1">
        <v>38246</v>
      </c>
      <c r="B8" t="s">
        <v>134</v>
      </c>
      <c r="C8">
        <v>36</v>
      </c>
      <c r="D8">
        <v>55</v>
      </c>
      <c r="E8">
        <f t="shared" si="0"/>
        <v>34.25</v>
      </c>
      <c r="F8">
        <f t="shared" si="0"/>
        <v>58.75</v>
      </c>
      <c r="G8">
        <f t="shared" si="1"/>
        <v>24.5</v>
      </c>
      <c r="H8" s="1">
        <v>38243</v>
      </c>
    </row>
    <row r="9" spans="1:8" ht="12.75">
      <c r="A9" s="1">
        <v>38253</v>
      </c>
      <c r="B9" t="s">
        <v>59</v>
      </c>
      <c r="C9">
        <v>38</v>
      </c>
      <c r="D9">
        <v>56</v>
      </c>
      <c r="E9">
        <f t="shared" si="0"/>
        <v>35</v>
      </c>
      <c r="F9">
        <f t="shared" si="0"/>
        <v>58.2</v>
      </c>
      <c r="G9">
        <f t="shared" si="1"/>
        <v>23.200000000000003</v>
      </c>
      <c r="H9" s="1">
        <v>38251</v>
      </c>
    </row>
    <row r="10" spans="1:8" ht="12.75">
      <c r="A10" s="1">
        <v>38270</v>
      </c>
      <c r="B10" t="s">
        <v>21</v>
      </c>
      <c r="C10">
        <v>32</v>
      </c>
      <c r="D10">
        <v>65</v>
      </c>
      <c r="E10">
        <f t="shared" si="0"/>
        <v>34.2</v>
      </c>
      <c r="F10">
        <f t="shared" si="0"/>
        <v>59.8</v>
      </c>
      <c r="G10">
        <f t="shared" si="1"/>
        <v>25.599999999999994</v>
      </c>
      <c r="H10" s="1">
        <v>38265</v>
      </c>
    </row>
    <row r="11" spans="1:8" ht="12.75">
      <c r="A11" s="1">
        <v>38280</v>
      </c>
      <c r="B11" t="s">
        <v>291</v>
      </c>
      <c r="C11">
        <v>29</v>
      </c>
      <c r="D11">
        <v>51</v>
      </c>
      <c r="E11">
        <f t="shared" si="0"/>
        <v>34.2</v>
      </c>
      <c r="F11">
        <f t="shared" si="0"/>
        <v>57.4</v>
      </c>
      <c r="G11">
        <f t="shared" si="1"/>
        <v>23.199999999999996</v>
      </c>
      <c r="H11" s="1">
        <v>38271</v>
      </c>
    </row>
    <row r="12" spans="1:8" ht="12.75">
      <c r="A12" s="1">
        <v>38288</v>
      </c>
      <c r="B12" t="s">
        <v>134</v>
      </c>
      <c r="C12">
        <v>36</v>
      </c>
      <c r="D12">
        <v>57</v>
      </c>
      <c r="E12">
        <f t="shared" si="0"/>
        <v>34.2</v>
      </c>
      <c r="F12">
        <f t="shared" si="0"/>
        <v>56.8</v>
      </c>
      <c r="G12">
        <f t="shared" si="1"/>
        <v>22.599999999999994</v>
      </c>
      <c r="H12" s="1">
        <v>38285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3:K75"/>
  <sheetViews>
    <sheetView zoomScalePageLayoutView="0" workbookViewId="0" topLeftCell="A1">
      <pane ySplit="2600" topLeftCell="BM53" activePane="bottomLeft" state="split"/>
      <selection pane="topLeft" activeCell="A1" sqref="A1"/>
      <selection pane="bottomLeft" activeCell="H76" sqref="H76"/>
    </sheetView>
  </sheetViews>
  <sheetFormatPr defaultColWidth="11.00390625" defaultRowHeight="12.75"/>
  <sheetData>
    <row r="3" spans="3:7" ht="12.75">
      <c r="C3" s="3" t="s">
        <v>278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37943</v>
      </c>
      <c r="B5" t="s">
        <v>126</v>
      </c>
      <c r="C5">
        <v>51</v>
      </c>
      <c r="D5">
        <v>41</v>
      </c>
      <c r="E5">
        <f>AVERAGE(C1:C5)</f>
        <v>51</v>
      </c>
      <c r="F5">
        <f>AVERAGE(D1:D5)</f>
        <v>41</v>
      </c>
      <c r="G5">
        <f>F5-E5</f>
        <v>-10</v>
      </c>
      <c r="H5" s="1">
        <v>37935</v>
      </c>
    </row>
    <row r="6" spans="1:8" ht="12.75">
      <c r="A6" s="1">
        <v>37974</v>
      </c>
      <c r="B6" t="s">
        <v>126</v>
      </c>
      <c r="C6">
        <v>50</v>
      </c>
      <c r="D6">
        <v>44</v>
      </c>
      <c r="E6">
        <f>AVERAGE(C2:C6)</f>
        <v>50.5</v>
      </c>
      <c r="F6">
        <f>AVERAGE(D2:D6)</f>
        <v>42.5</v>
      </c>
      <c r="G6">
        <f>F6-E6</f>
        <v>-8</v>
      </c>
      <c r="H6" s="1">
        <v>37969</v>
      </c>
    </row>
    <row r="7" spans="1:8" ht="12.75">
      <c r="A7" s="1">
        <v>37993</v>
      </c>
      <c r="B7" t="s">
        <v>169</v>
      </c>
      <c r="C7">
        <v>45</v>
      </c>
      <c r="D7">
        <v>43</v>
      </c>
      <c r="E7">
        <f>AVERAGE(C3:C7)</f>
        <v>48.666666666666664</v>
      </c>
      <c r="F7">
        <f>AVERAGE(D3:D7)</f>
        <v>42.666666666666664</v>
      </c>
      <c r="G7">
        <f>F7-E7</f>
        <v>-6</v>
      </c>
      <c r="H7" s="1">
        <v>37993</v>
      </c>
    </row>
    <row r="8" spans="1:8" ht="12.75">
      <c r="A8" s="1">
        <v>38067</v>
      </c>
      <c r="B8" t="s">
        <v>126</v>
      </c>
      <c r="C8">
        <v>52</v>
      </c>
      <c r="D8">
        <v>40</v>
      </c>
      <c r="E8">
        <f>AVERAGE(C4:C8)</f>
        <v>49.5</v>
      </c>
      <c r="F8">
        <f>AVERAGE(D4:D8)</f>
        <v>42</v>
      </c>
      <c r="G8">
        <f>F8-E8</f>
        <v>-7.5</v>
      </c>
      <c r="H8" s="1">
        <v>38002</v>
      </c>
    </row>
    <row r="9" spans="1:8" ht="12.75">
      <c r="A9" s="1">
        <v>38037</v>
      </c>
      <c r="B9" t="s">
        <v>126</v>
      </c>
      <c r="C9">
        <v>45</v>
      </c>
      <c r="D9">
        <v>51</v>
      </c>
      <c r="E9">
        <f>AVERAGE(C5:C9)</f>
        <v>48.6</v>
      </c>
      <c r="F9">
        <f>AVERAGE(D5:D9)</f>
        <v>43.8</v>
      </c>
      <c r="G9">
        <f>F9-E9</f>
        <v>-4.800000000000004</v>
      </c>
      <c r="H9" s="1">
        <v>38033</v>
      </c>
    </row>
    <row r="10" spans="1:8" ht="12.75">
      <c r="A10" s="1">
        <v>38067</v>
      </c>
      <c r="B10" t="s">
        <v>169</v>
      </c>
      <c r="C10">
        <v>49</v>
      </c>
      <c r="D10">
        <v>44</v>
      </c>
      <c r="E10">
        <f>AVERAGE(C6:C10)</f>
        <v>48.2</v>
      </c>
      <c r="F10">
        <f>AVERAGE(D6:D10)</f>
        <v>44.4</v>
      </c>
      <c r="G10">
        <f>F10-E10</f>
        <v>-3.8000000000000043</v>
      </c>
      <c r="H10" s="1">
        <v>38035</v>
      </c>
    </row>
    <row r="11" spans="1:8" ht="12.75">
      <c r="A11" s="1">
        <v>38051</v>
      </c>
      <c r="B11" t="s">
        <v>126</v>
      </c>
      <c r="C11">
        <v>47</v>
      </c>
      <c r="D11">
        <v>47</v>
      </c>
      <c r="E11">
        <f>AVERAGE(C7:C11)</f>
        <v>47.6</v>
      </c>
      <c r="F11">
        <f>AVERAGE(D7:D11)</f>
        <v>45</v>
      </c>
      <c r="G11">
        <f>F11-E11</f>
        <v>-2.6000000000000014</v>
      </c>
      <c r="H11" s="1">
        <v>38044</v>
      </c>
    </row>
    <row r="12" spans="1:8" ht="12.75">
      <c r="A12" s="1">
        <v>38067</v>
      </c>
      <c r="B12" t="s">
        <v>126</v>
      </c>
      <c r="C12">
        <v>47</v>
      </c>
      <c r="D12">
        <v>48</v>
      </c>
      <c r="E12">
        <f>AVERAGE(C8:C12)</f>
        <v>48</v>
      </c>
      <c r="F12">
        <f>AVERAGE(D8:D12)</f>
        <v>46</v>
      </c>
      <c r="G12">
        <f>F12-E12</f>
        <v>-2</v>
      </c>
      <c r="H12" s="1">
        <v>38061</v>
      </c>
    </row>
    <row r="13" spans="1:8" ht="12.75">
      <c r="A13" s="1">
        <v>38074</v>
      </c>
      <c r="B13" t="s">
        <v>169</v>
      </c>
      <c r="C13">
        <v>52</v>
      </c>
      <c r="D13">
        <v>41</v>
      </c>
      <c r="E13">
        <f>AVERAGE(C9:C13)</f>
        <v>48</v>
      </c>
      <c r="F13">
        <f>AVERAGE(D9:D13)</f>
        <v>46.2</v>
      </c>
      <c r="G13">
        <f>F13-E13</f>
        <v>-1.7999999999999972</v>
      </c>
      <c r="H13" s="1">
        <v>38072</v>
      </c>
    </row>
    <row r="14" spans="1:8" ht="12.75">
      <c r="A14" s="1">
        <v>38094</v>
      </c>
      <c r="B14" t="s">
        <v>126</v>
      </c>
      <c r="C14">
        <v>52</v>
      </c>
      <c r="D14">
        <v>44</v>
      </c>
      <c r="E14">
        <f>AVERAGE(C10:C14)</f>
        <v>49.4</v>
      </c>
      <c r="F14">
        <f>AVERAGE(D10:D14)</f>
        <v>44.8</v>
      </c>
      <c r="G14">
        <f>F14-E14</f>
        <v>-4.600000000000001</v>
      </c>
      <c r="H14" s="1">
        <v>38089</v>
      </c>
    </row>
    <row r="15" spans="1:8" ht="12.75">
      <c r="A15" s="1">
        <v>38119</v>
      </c>
      <c r="B15" t="s">
        <v>169</v>
      </c>
      <c r="C15">
        <v>47</v>
      </c>
      <c r="D15">
        <v>44</v>
      </c>
      <c r="E15">
        <f>AVERAGE(C11:C15)</f>
        <v>49</v>
      </c>
      <c r="F15">
        <f>AVERAGE(D11:D15)</f>
        <v>44.8</v>
      </c>
      <c r="G15">
        <f>F15-E15</f>
        <v>-4.200000000000003</v>
      </c>
      <c r="H15" s="1">
        <v>38114</v>
      </c>
    </row>
    <row r="16" spans="1:8" ht="12.75">
      <c r="A16" s="1">
        <v>38127</v>
      </c>
      <c r="B16" t="s">
        <v>64</v>
      </c>
      <c r="C16">
        <v>47</v>
      </c>
      <c r="D16">
        <v>39</v>
      </c>
      <c r="E16">
        <f>AVERAGE(C12:C16)</f>
        <v>49</v>
      </c>
      <c r="F16">
        <f>AVERAGE(D12:D16)</f>
        <v>43.2</v>
      </c>
      <c r="G16">
        <f>F16-E16</f>
        <v>-5.799999999999997</v>
      </c>
      <c r="H16" s="1">
        <v>38124</v>
      </c>
    </row>
    <row r="17" spans="1:8" ht="12.75">
      <c r="A17" s="1">
        <v>38129</v>
      </c>
      <c r="B17" t="s">
        <v>126</v>
      </c>
      <c r="C17">
        <v>42</v>
      </c>
      <c r="D17">
        <v>49</v>
      </c>
      <c r="E17">
        <f>AVERAGE(C13:C17)</f>
        <v>48</v>
      </c>
      <c r="F17">
        <f>AVERAGE(D13:D17)</f>
        <v>43.4</v>
      </c>
      <c r="G17">
        <f>F17-E17</f>
        <v>-4.600000000000001</v>
      </c>
      <c r="H17" s="1">
        <v>38124</v>
      </c>
    </row>
    <row r="18" spans="1:8" ht="12.75">
      <c r="A18" s="1">
        <v>38154</v>
      </c>
      <c r="B18" t="s">
        <v>169</v>
      </c>
      <c r="C18">
        <v>44</v>
      </c>
      <c r="D18">
        <v>45</v>
      </c>
      <c r="E18">
        <f>AVERAGE(C14:C18)</f>
        <v>46.4</v>
      </c>
      <c r="F18">
        <f>AVERAGE(D14:D18)</f>
        <v>44.2</v>
      </c>
      <c r="G18">
        <f>F18-E18</f>
        <v>-2.1999999999999957</v>
      </c>
      <c r="H18" s="1">
        <v>38149</v>
      </c>
    </row>
    <row r="19" spans="1:8" ht="12.75">
      <c r="A19" s="1">
        <v>38156</v>
      </c>
      <c r="B19" t="s">
        <v>93</v>
      </c>
      <c r="C19">
        <v>45</v>
      </c>
      <c r="D19">
        <v>47</v>
      </c>
      <c r="E19">
        <f>AVERAGE(C15:C19)</f>
        <v>45</v>
      </c>
      <c r="F19">
        <f>AVERAGE(D15:D19)</f>
        <v>44.8</v>
      </c>
      <c r="G19">
        <f>F19-E19</f>
        <v>-0.20000000000000284</v>
      </c>
      <c r="H19" s="1">
        <v>38153</v>
      </c>
    </row>
    <row r="20" spans="1:8" ht="12.75">
      <c r="A20" s="1">
        <v>38168</v>
      </c>
      <c r="B20" t="s">
        <v>126</v>
      </c>
      <c r="C20">
        <v>47</v>
      </c>
      <c r="D20">
        <v>49</v>
      </c>
      <c r="E20">
        <f>AVERAGE(C16:C20)</f>
        <v>45</v>
      </c>
      <c r="F20">
        <f>AVERAGE(D16:D20)</f>
        <v>45.8</v>
      </c>
      <c r="G20">
        <f>F20-E20</f>
        <v>0.7999999999999972</v>
      </c>
      <c r="H20" s="1">
        <v>38167</v>
      </c>
    </row>
    <row r="21" spans="1:8" ht="12.75">
      <c r="A21" s="1">
        <v>38167</v>
      </c>
      <c r="B21" t="s">
        <v>239</v>
      </c>
      <c r="C21">
        <v>39</v>
      </c>
      <c r="D21">
        <v>44</v>
      </c>
      <c r="E21">
        <f>AVERAGE(C17:C21)</f>
        <v>43.4</v>
      </c>
      <c r="F21">
        <f>AVERAGE(D17:D21)</f>
        <v>46.8</v>
      </c>
      <c r="G21">
        <f>F21-E21</f>
        <v>3.3999999999999986</v>
      </c>
      <c r="H21" s="1">
        <v>38167</v>
      </c>
    </row>
    <row r="22" spans="1:8" ht="12.75">
      <c r="A22" s="1">
        <v>38186</v>
      </c>
      <c r="B22" t="s">
        <v>169</v>
      </c>
      <c r="C22">
        <v>48</v>
      </c>
      <c r="D22">
        <v>47</v>
      </c>
      <c r="E22">
        <f>AVERAGE(C18:C22)</f>
        <v>44.6</v>
      </c>
      <c r="F22">
        <f>AVERAGE(D18:D22)</f>
        <v>46.4</v>
      </c>
      <c r="G22">
        <f>F22-E22</f>
        <v>1.7999999999999972</v>
      </c>
      <c r="H22" s="1">
        <v>38183</v>
      </c>
    </row>
    <row r="23" spans="1:8" ht="12.75">
      <c r="A23" s="1">
        <v>38191</v>
      </c>
      <c r="B23" t="s">
        <v>93</v>
      </c>
      <c r="C23">
        <v>44</v>
      </c>
      <c r="D23">
        <v>46</v>
      </c>
      <c r="E23">
        <f>AVERAGE(C19:C23)</f>
        <v>44.6</v>
      </c>
      <c r="F23">
        <f>AVERAGE(D19:D23)</f>
        <v>46.6</v>
      </c>
      <c r="G23">
        <f>F23-E23</f>
        <v>2</v>
      </c>
      <c r="H23" s="1">
        <v>38187</v>
      </c>
    </row>
    <row r="24" spans="1:8" ht="12.75">
      <c r="A24" s="1">
        <v>38210</v>
      </c>
      <c r="B24" t="s">
        <v>126</v>
      </c>
      <c r="C24">
        <v>48</v>
      </c>
      <c r="D24">
        <v>47</v>
      </c>
      <c r="E24">
        <f>AVERAGE(C20:C24)</f>
        <v>45.2</v>
      </c>
      <c r="F24">
        <f>AVERAGE(D20:D24)</f>
        <v>46.6</v>
      </c>
      <c r="G24">
        <f>F24-E24</f>
        <v>1.3999999999999986</v>
      </c>
      <c r="H24" s="1">
        <v>38208</v>
      </c>
    </row>
    <row r="25" spans="1:8" ht="12.75">
      <c r="A25" s="1">
        <v>38212</v>
      </c>
      <c r="B25" t="s">
        <v>48</v>
      </c>
      <c r="C25">
        <v>43</v>
      </c>
      <c r="D25">
        <v>43</v>
      </c>
      <c r="E25">
        <f>AVERAGE(C21:C25)</f>
        <v>44.4</v>
      </c>
      <c r="F25">
        <f>AVERAGE(D21:D25)</f>
        <v>45.4</v>
      </c>
      <c r="G25">
        <f>F25-E25</f>
        <v>1</v>
      </c>
      <c r="H25" s="1">
        <v>38210</v>
      </c>
    </row>
    <row r="26" spans="1:8" ht="12.75">
      <c r="A26" s="1">
        <v>38212</v>
      </c>
      <c r="B26" t="s">
        <v>169</v>
      </c>
      <c r="C26">
        <v>48</v>
      </c>
      <c r="D26">
        <v>47</v>
      </c>
      <c r="E26">
        <f>AVERAGE(C22:C26)</f>
        <v>46.2</v>
      </c>
      <c r="F26">
        <f>AVERAGE(D22:D26)</f>
        <v>46</v>
      </c>
      <c r="G26">
        <f>F26-E26</f>
        <v>-0.20000000000000284</v>
      </c>
      <c r="H26" s="1">
        <v>38210</v>
      </c>
    </row>
    <row r="27" spans="1:8" ht="12.75">
      <c r="A27" s="1">
        <v>38221</v>
      </c>
      <c r="B27" t="s">
        <v>41</v>
      </c>
      <c r="C27">
        <v>41</v>
      </c>
      <c r="D27">
        <v>43</v>
      </c>
      <c r="E27">
        <f>AVERAGE(C23:C27)</f>
        <v>44.8</v>
      </c>
      <c r="F27">
        <f>AVERAGE(D23:D27)</f>
        <v>45.2</v>
      </c>
      <c r="G27">
        <f>F27-E27</f>
        <v>0.4000000000000057</v>
      </c>
      <c r="H27" s="1">
        <v>38217</v>
      </c>
    </row>
    <row r="28" spans="1:8" ht="12.75">
      <c r="A28" s="1">
        <v>38223</v>
      </c>
      <c r="B28" t="s">
        <v>93</v>
      </c>
      <c r="C28">
        <v>45</v>
      </c>
      <c r="D28">
        <v>47</v>
      </c>
      <c r="E28">
        <f>AVERAGE(C24:C28)</f>
        <v>45</v>
      </c>
      <c r="F28">
        <f>AVERAGE(D24:D28)</f>
        <v>45.4</v>
      </c>
      <c r="G28">
        <f>F28-E28</f>
        <v>0.3999999999999986</v>
      </c>
      <c r="H28" s="1">
        <v>38220</v>
      </c>
    </row>
    <row r="29" spans="1:8" ht="12.75">
      <c r="A29" s="1">
        <v>38238</v>
      </c>
      <c r="B29" t="s">
        <v>126</v>
      </c>
      <c r="C29">
        <v>49</v>
      </c>
      <c r="D29">
        <v>47</v>
      </c>
      <c r="E29">
        <f>AVERAGE(C25:C29)</f>
        <v>45.2</v>
      </c>
      <c r="F29">
        <f>AVERAGE(D25:D29)</f>
        <v>45.4</v>
      </c>
      <c r="G29">
        <f>F29-E29</f>
        <v>0.19999999999999574</v>
      </c>
      <c r="H29" s="1">
        <v>38236</v>
      </c>
    </row>
    <row r="30" spans="1:8" ht="12.75">
      <c r="A30" s="1">
        <v>38238</v>
      </c>
      <c r="B30" t="s">
        <v>214</v>
      </c>
      <c r="C30">
        <v>49</v>
      </c>
      <c r="D30">
        <v>47</v>
      </c>
      <c r="E30">
        <f>AVERAGE(C26:C30)</f>
        <v>46.4</v>
      </c>
      <c r="F30">
        <f>AVERAGE(D26:D30)</f>
        <v>46.2</v>
      </c>
      <c r="G30">
        <f>F30-E30</f>
        <v>-0.19999999999999574</v>
      </c>
      <c r="H30" s="1">
        <v>38236</v>
      </c>
    </row>
    <row r="31" spans="1:8" ht="12.75">
      <c r="A31" s="1">
        <v>38240</v>
      </c>
      <c r="B31" t="s">
        <v>109</v>
      </c>
      <c r="C31">
        <v>49</v>
      </c>
      <c r="D31">
        <v>43</v>
      </c>
      <c r="E31">
        <f>AVERAGE(C27:C31)</f>
        <v>46.6</v>
      </c>
      <c r="F31">
        <f>AVERAGE(D27:D31)</f>
        <v>45.4</v>
      </c>
      <c r="G31">
        <f>F31-E31</f>
        <v>-1.2000000000000028</v>
      </c>
      <c r="H31" s="1">
        <v>38238</v>
      </c>
    </row>
    <row r="32" spans="1:8" ht="12.75">
      <c r="A32" s="1">
        <v>38243</v>
      </c>
      <c r="B32" t="s">
        <v>41</v>
      </c>
      <c r="C32">
        <v>50.3</v>
      </c>
      <c r="D32">
        <v>43.8</v>
      </c>
      <c r="E32">
        <f>AVERAGE(C28:C32)</f>
        <v>48.46</v>
      </c>
      <c r="F32">
        <f>AVERAGE(D28:D32)</f>
        <v>45.56</v>
      </c>
      <c r="G32">
        <f>F32-E32</f>
        <v>-2.8999999999999986</v>
      </c>
      <c r="H32" s="1">
        <v>38241</v>
      </c>
    </row>
    <row r="33" spans="1:8" ht="12.75">
      <c r="A33" s="1">
        <v>38245</v>
      </c>
      <c r="B33" t="s">
        <v>126</v>
      </c>
      <c r="C33">
        <v>46</v>
      </c>
      <c r="D33">
        <v>50</v>
      </c>
      <c r="E33">
        <f>AVERAGE(C29:C33)</f>
        <v>48.660000000000004</v>
      </c>
      <c r="F33">
        <f>AVERAGE(D29:D33)</f>
        <v>46.160000000000004</v>
      </c>
      <c r="G33">
        <f>F33-E33</f>
        <v>-2.5</v>
      </c>
      <c r="H33" s="1">
        <v>38243</v>
      </c>
    </row>
    <row r="34" spans="1:8" ht="12.75">
      <c r="A34" s="1">
        <v>38245</v>
      </c>
      <c r="B34" t="s">
        <v>169</v>
      </c>
      <c r="C34">
        <v>48</v>
      </c>
      <c r="D34">
        <v>48</v>
      </c>
      <c r="E34">
        <f>AVERAGE(C30:C34)</f>
        <v>48.46</v>
      </c>
      <c r="F34">
        <f>AVERAGE(D30:D34)</f>
        <v>46.36</v>
      </c>
      <c r="G34">
        <f>F34-E34</f>
        <v>-2.1000000000000014</v>
      </c>
      <c r="H34" s="1">
        <v>38243</v>
      </c>
    </row>
    <row r="35" spans="1:8" ht="12.75">
      <c r="A35" s="1">
        <v>38247</v>
      </c>
      <c r="B35" t="s">
        <v>93</v>
      </c>
      <c r="C35">
        <v>46</v>
      </c>
      <c r="D35">
        <v>48</v>
      </c>
      <c r="E35">
        <f>AVERAGE(C31:C35)</f>
        <v>47.86</v>
      </c>
      <c r="F35">
        <f>AVERAGE(D31:D35)</f>
        <v>46.56</v>
      </c>
      <c r="G35">
        <f>F35-E35</f>
        <v>-1.2999999999999972</v>
      </c>
      <c r="H35" s="1">
        <v>38243</v>
      </c>
    </row>
    <row r="36" spans="1:8" ht="12.75">
      <c r="A36" s="1">
        <v>38247</v>
      </c>
      <c r="B36" t="s">
        <v>19</v>
      </c>
      <c r="C36">
        <v>48</v>
      </c>
      <c r="D36">
        <v>39</v>
      </c>
      <c r="E36">
        <f>AVERAGE(C32:C36)</f>
        <v>47.660000000000004</v>
      </c>
      <c r="F36">
        <f>AVERAGE(D32:D36)</f>
        <v>45.760000000000005</v>
      </c>
      <c r="G36">
        <f>F36-E36</f>
        <v>-1.8999999999999986</v>
      </c>
      <c r="H36" s="1">
        <v>38243</v>
      </c>
    </row>
    <row r="37" spans="1:8" ht="12.75">
      <c r="A37" s="1">
        <v>38248</v>
      </c>
      <c r="B37" t="s">
        <v>22</v>
      </c>
      <c r="C37">
        <v>48</v>
      </c>
      <c r="D37">
        <v>41</v>
      </c>
      <c r="E37">
        <f>AVERAGE(C33:C37)</f>
        <v>47.2</v>
      </c>
      <c r="F37">
        <f>AVERAGE(D33:D37)</f>
        <v>45.2</v>
      </c>
      <c r="G37">
        <f>F37-E37</f>
        <v>-2</v>
      </c>
      <c r="H37" s="1">
        <v>38244</v>
      </c>
    </row>
    <row r="38" spans="1:8" ht="12.75">
      <c r="A38" s="1">
        <v>38248</v>
      </c>
      <c r="B38" t="s">
        <v>25</v>
      </c>
      <c r="C38">
        <v>48</v>
      </c>
      <c r="D38">
        <v>46</v>
      </c>
      <c r="E38">
        <f>AVERAGE(C34:C38)</f>
        <v>47.6</v>
      </c>
      <c r="F38">
        <f>AVERAGE(D34:D38)</f>
        <v>44.4</v>
      </c>
      <c r="G38">
        <f>F38-E38</f>
        <v>-3.200000000000003</v>
      </c>
      <c r="H38" s="1">
        <v>38246</v>
      </c>
    </row>
    <row r="39" spans="1:8" ht="12.75">
      <c r="A39" s="1">
        <v>38251</v>
      </c>
      <c r="B39" t="s">
        <v>59</v>
      </c>
      <c r="C39">
        <v>48</v>
      </c>
      <c r="D39">
        <v>46</v>
      </c>
      <c r="E39">
        <f>AVERAGE(C35:C39)</f>
        <v>47.6</v>
      </c>
      <c r="F39">
        <f>AVERAGE(D35:D39)</f>
        <v>44</v>
      </c>
      <c r="G39">
        <f>F39-E39</f>
        <v>-3.6000000000000014</v>
      </c>
      <c r="H39" s="1">
        <v>38249</v>
      </c>
    </row>
    <row r="40" spans="1:8" ht="12.75">
      <c r="A40" s="1">
        <v>38252</v>
      </c>
      <c r="B40" t="s">
        <v>126</v>
      </c>
      <c r="C40">
        <v>45</v>
      </c>
      <c r="D40">
        <v>51</v>
      </c>
      <c r="E40">
        <f>AVERAGE(C36:C40)</f>
        <v>47.4</v>
      </c>
      <c r="F40">
        <f>AVERAGE(D36:D40)</f>
        <v>44.6</v>
      </c>
      <c r="G40">
        <f>F40-E40</f>
        <v>-2.799999999999997</v>
      </c>
      <c r="H40" s="1">
        <v>38250</v>
      </c>
    </row>
    <row r="41" spans="1:8" ht="12.75">
      <c r="A41" s="1">
        <v>38252</v>
      </c>
      <c r="B41" t="s">
        <v>304</v>
      </c>
      <c r="C41">
        <v>46</v>
      </c>
      <c r="D41">
        <v>49</v>
      </c>
      <c r="E41">
        <f>AVERAGE(C37:C41)</f>
        <v>47</v>
      </c>
      <c r="F41">
        <f>AVERAGE(D37:D41)</f>
        <v>46.6</v>
      </c>
      <c r="G41">
        <f>F41-E41</f>
        <v>-0.3999999999999986</v>
      </c>
      <c r="H41" s="1">
        <v>38250</v>
      </c>
    </row>
    <row r="42" spans="1:8" ht="12.75">
      <c r="A42" s="1">
        <v>38252</v>
      </c>
      <c r="B42" t="s">
        <v>169</v>
      </c>
      <c r="C42">
        <v>50</v>
      </c>
      <c r="D42">
        <v>48</v>
      </c>
      <c r="E42">
        <f>AVERAGE(C38:C42)</f>
        <v>47.4</v>
      </c>
      <c r="F42">
        <f>AVERAGE(D38:D42)</f>
        <v>48</v>
      </c>
      <c r="G42">
        <f>F42-E42</f>
        <v>0.6000000000000014</v>
      </c>
      <c r="H42" s="1">
        <v>38250</v>
      </c>
    </row>
    <row r="43" spans="1:8" ht="12.75">
      <c r="A43" s="1">
        <v>38254</v>
      </c>
      <c r="B43" t="s">
        <v>175</v>
      </c>
      <c r="C43">
        <v>47</v>
      </c>
      <c r="D43">
        <v>44</v>
      </c>
      <c r="E43">
        <f>AVERAGE(C39:C43)</f>
        <v>47.2</v>
      </c>
      <c r="F43">
        <f>AVERAGE(D39:D43)</f>
        <v>47.6</v>
      </c>
      <c r="G43">
        <f>F43-E43</f>
        <v>0.3999999999999986</v>
      </c>
      <c r="H43" s="1">
        <v>38251</v>
      </c>
    </row>
    <row r="44" spans="1:8" ht="12.75">
      <c r="A44" s="1">
        <v>38256</v>
      </c>
      <c r="B44" t="s">
        <v>169</v>
      </c>
      <c r="C44">
        <v>45</v>
      </c>
      <c r="D44">
        <v>50</v>
      </c>
      <c r="E44">
        <f>AVERAGE(C40:C44)</f>
        <v>46.6</v>
      </c>
      <c r="F44">
        <f>AVERAGE(D40:D44)</f>
        <v>48.4</v>
      </c>
      <c r="G44">
        <f>F44-E44</f>
        <v>1.7999999999999972</v>
      </c>
      <c r="H44" s="1">
        <v>38254</v>
      </c>
    </row>
    <row r="45" spans="1:8" ht="12.75">
      <c r="A45" s="1">
        <v>38259</v>
      </c>
      <c r="B45" t="s">
        <v>214</v>
      </c>
      <c r="C45">
        <v>47</v>
      </c>
      <c r="D45">
        <v>50</v>
      </c>
      <c r="E45">
        <f>AVERAGE(C41:C45)</f>
        <v>47</v>
      </c>
      <c r="F45">
        <f>AVERAGE(D41:D45)</f>
        <v>48.2</v>
      </c>
      <c r="G45">
        <f>F45-E45</f>
        <v>1.2000000000000028</v>
      </c>
      <c r="H45" s="1">
        <v>38257</v>
      </c>
    </row>
    <row r="46" spans="1:8" ht="12.75">
      <c r="A46" s="1">
        <v>38260</v>
      </c>
      <c r="B46" t="s">
        <v>48</v>
      </c>
      <c r="C46">
        <v>45</v>
      </c>
      <c r="D46">
        <v>51</v>
      </c>
      <c r="E46">
        <f>AVERAGE(C42:C46)</f>
        <v>46.8</v>
      </c>
      <c r="F46">
        <f>AVERAGE(D42:D46)</f>
        <v>48.6</v>
      </c>
      <c r="G46">
        <f>F46-E46</f>
        <v>1.8000000000000043</v>
      </c>
      <c r="H46" s="1">
        <v>38258</v>
      </c>
    </row>
    <row r="47" spans="1:8" ht="12.75">
      <c r="A47" s="1">
        <v>38260</v>
      </c>
      <c r="B47" t="s">
        <v>59</v>
      </c>
      <c r="C47">
        <v>49</v>
      </c>
      <c r="D47">
        <v>46</v>
      </c>
      <c r="E47">
        <f>AVERAGE(C43:C47)</f>
        <v>46.6</v>
      </c>
      <c r="F47">
        <f>AVERAGE(D43:D47)</f>
        <v>48.2</v>
      </c>
      <c r="G47">
        <f>F47-E47</f>
        <v>1.6000000000000014</v>
      </c>
      <c r="H47" s="1">
        <v>38258</v>
      </c>
    </row>
    <row r="48" spans="1:8" ht="12.75">
      <c r="A48" s="1">
        <v>38261</v>
      </c>
      <c r="B48" t="s">
        <v>109</v>
      </c>
      <c r="C48">
        <v>42</v>
      </c>
      <c r="D48">
        <v>52</v>
      </c>
      <c r="E48">
        <f>AVERAGE(C44:C48)</f>
        <v>45.6</v>
      </c>
      <c r="F48">
        <f>AVERAGE(D44:D48)</f>
        <v>49.8</v>
      </c>
      <c r="G48">
        <f>F48-E48</f>
        <v>4.199999999999996</v>
      </c>
      <c r="H48" s="1">
        <v>38259</v>
      </c>
    </row>
    <row r="49" spans="1:8" ht="12.75">
      <c r="A49" s="1">
        <v>38262</v>
      </c>
      <c r="B49" t="s">
        <v>89</v>
      </c>
      <c r="C49">
        <v>48</v>
      </c>
      <c r="D49">
        <v>45</v>
      </c>
      <c r="E49">
        <f>AVERAGE(C45:C49)</f>
        <v>46.2</v>
      </c>
      <c r="F49">
        <f>AVERAGE(D45:D49)</f>
        <v>48.8</v>
      </c>
      <c r="G49">
        <f>F49-E49</f>
        <v>2.5999999999999943</v>
      </c>
      <c r="H49" s="1">
        <v>38260</v>
      </c>
    </row>
    <row r="50" spans="1:8" ht="12.75">
      <c r="A50" s="1">
        <v>38266</v>
      </c>
      <c r="B50" t="s">
        <v>144</v>
      </c>
      <c r="C50">
        <v>39</v>
      </c>
      <c r="D50">
        <v>51</v>
      </c>
      <c r="E50">
        <f>AVERAGE(C46:C50)</f>
        <v>44.6</v>
      </c>
      <c r="F50">
        <f>AVERAGE(D46:D50)</f>
        <v>49</v>
      </c>
      <c r="G50">
        <f>F50-E50</f>
        <v>4.399999999999999</v>
      </c>
      <c r="H50" s="1">
        <v>38264</v>
      </c>
    </row>
    <row r="51" spans="1:8" ht="12.75">
      <c r="A51" s="1">
        <v>38266</v>
      </c>
      <c r="B51" t="s">
        <v>126</v>
      </c>
      <c r="C51">
        <v>43</v>
      </c>
      <c r="D51">
        <v>53</v>
      </c>
      <c r="E51">
        <f>AVERAGE(C47:C51)</f>
        <v>44.2</v>
      </c>
      <c r="F51">
        <f>AVERAGE(D47:D51)</f>
        <v>49.4</v>
      </c>
      <c r="G51">
        <f>F51-E51</f>
        <v>5.199999999999996</v>
      </c>
      <c r="H51" s="1">
        <v>38264</v>
      </c>
    </row>
    <row r="52" spans="1:8" ht="12.75">
      <c r="A52" s="1">
        <v>38266</v>
      </c>
      <c r="B52" t="s">
        <v>214</v>
      </c>
      <c r="C52">
        <v>48</v>
      </c>
      <c r="D52">
        <v>50</v>
      </c>
      <c r="E52">
        <f>AVERAGE(C48:C52)</f>
        <v>44</v>
      </c>
      <c r="F52">
        <f>AVERAGE(D48:D52)</f>
        <v>50.2</v>
      </c>
      <c r="G52">
        <f>F52-E52</f>
        <v>6.200000000000003</v>
      </c>
      <c r="H52" s="1">
        <v>38264</v>
      </c>
    </row>
    <row r="53" spans="1:8" ht="12.75">
      <c r="A53" s="1">
        <v>38269</v>
      </c>
      <c r="B53" t="s">
        <v>93</v>
      </c>
      <c r="C53">
        <v>43</v>
      </c>
      <c r="D53">
        <v>51</v>
      </c>
      <c r="E53">
        <f>AVERAGE(C49:C53)</f>
        <v>44.2</v>
      </c>
      <c r="F53">
        <f>AVERAGE(D49:D53)</f>
        <v>50</v>
      </c>
      <c r="G53">
        <f>F53-E53</f>
        <v>5.799999999999997</v>
      </c>
      <c r="H53" s="1">
        <v>38266</v>
      </c>
    </row>
    <row r="54" spans="1:8" ht="12.75">
      <c r="A54" s="1">
        <v>38273</v>
      </c>
      <c r="B54" t="s">
        <v>214</v>
      </c>
      <c r="C54">
        <v>47</v>
      </c>
      <c r="D54">
        <v>50</v>
      </c>
      <c r="E54">
        <f>AVERAGE(C50:C54)</f>
        <v>44</v>
      </c>
      <c r="F54">
        <f>AVERAGE(D50:D54)</f>
        <v>51</v>
      </c>
      <c r="G54">
        <f>F54-E54</f>
        <v>7</v>
      </c>
      <c r="H54" s="1">
        <v>38271</v>
      </c>
    </row>
    <row r="55" spans="1:8" ht="12.75">
      <c r="A55" s="1">
        <v>38276</v>
      </c>
      <c r="B55" t="s">
        <v>41</v>
      </c>
      <c r="C55">
        <v>44</v>
      </c>
      <c r="D55">
        <v>51.8</v>
      </c>
      <c r="E55">
        <f>AVERAGE(C51:C55)</f>
        <v>45</v>
      </c>
      <c r="F55">
        <f>AVERAGE(D51:D55)</f>
        <v>51.160000000000004</v>
      </c>
      <c r="G55">
        <f>F55-E55</f>
        <v>6.160000000000004</v>
      </c>
      <c r="H55" s="1">
        <v>38272</v>
      </c>
    </row>
    <row r="56" spans="1:8" ht="12.75">
      <c r="A56" s="1">
        <v>38275</v>
      </c>
      <c r="B56" t="s">
        <v>109</v>
      </c>
      <c r="C56">
        <v>43</v>
      </c>
      <c r="D56">
        <v>53</v>
      </c>
      <c r="E56">
        <f>AVERAGE(C52:C56)</f>
        <v>45</v>
      </c>
      <c r="F56">
        <f>AVERAGE(D52:D56)</f>
        <v>51.160000000000004</v>
      </c>
      <c r="G56">
        <f>F56-E56</f>
        <v>6.160000000000004</v>
      </c>
      <c r="H56" s="1">
        <v>38273</v>
      </c>
    </row>
    <row r="57" spans="1:11" ht="12.75">
      <c r="A57" s="1">
        <v>38276</v>
      </c>
      <c r="B57" t="s">
        <v>249</v>
      </c>
      <c r="C57">
        <v>43</v>
      </c>
      <c r="D57">
        <v>49</v>
      </c>
      <c r="E57">
        <f>AVERAGE(C53:C57)</f>
        <v>44</v>
      </c>
      <c r="F57">
        <f>AVERAGE(D53:D57)</f>
        <v>50.96</v>
      </c>
      <c r="G57">
        <f>F57-E57</f>
        <v>6.960000000000001</v>
      </c>
      <c r="H57" s="1">
        <v>38273</v>
      </c>
      <c r="I57">
        <f>AVERAGE(C54:C57)</f>
        <v>44.25</v>
      </c>
      <c r="J57">
        <f>AVERAGE(D54:D57)</f>
        <v>50.95</v>
      </c>
      <c r="K57">
        <f>J57-I57</f>
        <v>6.700000000000003</v>
      </c>
    </row>
    <row r="58" spans="1:8" ht="12.75">
      <c r="A58" s="1">
        <v>38280</v>
      </c>
      <c r="B58" t="s">
        <v>169</v>
      </c>
      <c r="C58">
        <v>44</v>
      </c>
      <c r="D58">
        <v>54</v>
      </c>
      <c r="E58">
        <f>AVERAGE(C54:C58)</f>
        <v>44.2</v>
      </c>
      <c r="F58">
        <f>AVERAGE(D54:D58)</f>
        <v>51.56</v>
      </c>
      <c r="G58">
        <f>F58-E58</f>
        <v>7.359999999999999</v>
      </c>
      <c r="H58" s="1">
        <v>38275</v>
      </c>
    </row>
    <row r="59" spans="1:8" ht="12.75">
      <c r="A59" s="1">
        <v>38280</v>
      </c>
      <c r="B59" t="s">
        <v>126</v>
      </c>
      <c r="C59">
        <v>45</v>
      </c>
      <c r="D59">
        <v>51</v>
      </c>
      <c r="E59">
        <f>AVERAGE(C55:C59)</f>
        <v>43.8</v>
      </c>
      <c r="F59">
        <f>AVERAGE(D55:D59)</f>
        <v>51.760000000000005</v>
      </c>
      <c r="G59">
        <f>F59-E59</f>
        <v>7.960000000000008</v>
      </c>
      <c r="H59" s="1">
        <v>38278</v>
      </c>
    </row>
    <row r="60" spans="1:8" ht="12.75">
      <c r="A60" s="1">
        <v>38283</v>
      </c>
      <c r="B60" t="s">
        <v>148</v>
      </c>
      <c r="C60">
        <v>44</v>
      </c>
      <c r="D60">
        <v>45</v>
      </c>
      <c r="E60">
        <f>AVERAGE(C56:C60)</f>
        <v>43.8</v>
      </c>
      <c r="F60">
        <f>AVERAGE(D56:D60)</f>
        <v>50.4</v>
      </c>
      <c r="G60">
        <f>F60-E60</f>
        <v>6.600000000000001</v>
      </c>
      <c r="H60" s="1">
        <v>38278</v>
      </c>
    </row>
    <row r="61" spans="1:8" ht="12.75">
      <c r="A61" s="1">
        <v>38281</v>
      </c>
      <c r="B61" t="s">
        <v>41</v>
      </c>
      <c r="C61">
        <v>46</v>
      </c>
      <c r="D61">
        <v>50</v>
      </c>
      <c r="E61">
        <f>AVERAGE(C57:C61)</f>
        <v>44.4</v>
      </c>
      <c r="F61">
        <f>AVERAGE(D57:D61)</f>
        <v>49.8</v>
      </c>
      <c r="G61">
        <f>F61-E61</f>
        <v>5.399999999999999</v>
      </c>
      <c r="H61" s="1">
        <v>38279</v>
      </c>
    </row>
    <row r="62" spans="1:8" ht="12.75">
      <c r="A62" s="1">
        <v>38282</v>
      </c>
      <c r="B62" t="s">
        <v>89</v>
      </c>
      <c r="C62">
        <v>45</v>
      </c>
      <c r="D62">
        <v>47</v>
      </c>
      <c r="E62">
        <f>AVERAGE(C58:C62)</f>
        <v>44.8</v>
      </c>
      <c r="F62">
        <f>AVERAGE(D58:D62)</f>
        <v>49.4</v>
      </c>
      <c r="G62">
        <f>F62-E62</f>
        <v>4.600000000000001</v>
      </c>
      <c r="H62" s="1">
        <v>38280</v>
      </c>
    </row>
    <row r="63" spans="1:8" ht="12.75">
      <c r="A63" s="1">
        <v>38282</v>
      </c>
      <c r="B63" t="s">
        <v>109</v>
      </c>
      <c r="C63">
        <v>44</v>
      </c>
      <c r="D63">
        <v>54</v>
      </c>
      <c r="E63">
        <f>AVERAGE(C59:C63)</f>
        <v>44.8</v>
      </c>
      <c r="F63">
        <f>AVERAGE(D59:D63)</f>
        <v>49.4</v>
      </c>
      <c r="G63">
        <f>F63-E63</f>
        <v>4.600000000000001</v>
      </c>
      <c r="H63" s="1">
        <v>38280</v>
      </c>
    </row>
    <row r="64" spans="1:8" ht="12.75">
      <c r="A64" s="1">
        <v>38285</v>
      </c>
      <c r="B64" t="s">
        <v>93</v>
      </c>
      <c r="C64">
        <v>43</v>
      </c>
      <c r="D64">
        <v>52</v>
      </c>
      <c r="E64">
        <f>AVERAGE(C60:C64)</f>
        <v>44.4</v>
      </c>
      <c r="F64">
        <f>AVERAGE(D60:D64)</f>
        <v>49.6</v>
      </c>
      <c r="G64">
        <f>F64-E64</f>
        <v>5.200000000000003</v>
      </c>
      <c r="H64" s="1">
        <v>38282</v>
      </c>
    </row>
    <row r="65" spans="1:8" ht="12.75">
      <c r="A65" s="1">
        <v>38287</v>
      </c>
      <c r="B65" t="s">
        <v>156</v>
      </c>
      <c r="C65">
        <v>44</v>
      </c>
      <c r="D65">
        <v>52</v>
      </c>
      <c r="E65">
        <f>AVERAGE(C61:C65)</f>
        <v>44.4</v>
      </c>
      <c r="F65">
        <f>AVERAGE(D61:D65)</f>
        <v>51</v>
      </c>
      <c r="G65">
        <f>F65-E65</f>
        <v>6.600000000000001</v>
      </c>
      <c r="H65" s="1">
        <v>38284</v>
      </c>
    </row>
    <row r="66" spans="1:8" ht="12.75">
      <c r="A66" s="1">
        <v>38287</v>
      </c>
      <c r="B66" t="s">
        <v>126</v>
      </c>
      <c r="C66">
        <v>43</v>
      </c>
      <c r="D66">
        <v>52</v>
      </c>
      <c r="E66">
        <f>AVERAGE(C62:C66)</f>
        <v>43.8</v>
      </c>
      <c r="F66">
        <f>AVERAGE(D62:D66)</f>
        <v>51.4</v>
      </c>
      <c r="G66">
        <f>F66-E66</f>
        <v>7.600000000000001</v>
      </c>
      <c r="H66" s="1">
        <v>38285</v>
      </c>
    </row>
    <row r="67" spans="1:8" ht="12.75">
      <c r="A67" s="1">
        <v>38287</v>
      </c>
      <c r="B67" t="s">
        <v>169</v>
      </c>
      <c r="C67">
        <v>47</v>
      </c>
      <c r="D67">
        <v>51</v>
      </c>
      <c r="E67">
        <f>AVERAGE(C63:C67)</f>
        <v>44.2</v>
      </c>
      <c r="F67">
        <f>AVERAGE(D63:D67)</f>
        <v>52.2</v>
      </c>
      <c r="G67">
        <f>F67-E67</f>
        <v>8</v>
      </c>
      <c r="H67" s="1">
        <v>38285</v>
      </c>
    </row>
    <row r="68" spans="1:8" ht="12.75">
      <c r="A68" s="1">
        <v>38287</v>
      </c>
      <c r="B68" t="s">
        <v>0</v>
      </c>
      <c r="C68">
        <v>45</v>
      </c>
      <c r="D68">
        <v>52</v>
      </c>
      <c r="E68">
        <f>AVERAGE(C64:C68)</f>
        <v>44.4</v>
      </c>
      <c r="F68">
        <f>AVERAGE(D64:D68)</f>
        <v>51.8</v>
      </c>
      <c r="G68">
        <f>F68-E68</f>
        <v>7.399999999999999</v>
      </c>
      <c r="H68" s="1">
        <v>38285</v>
      </c>
    </row>
    <row r="69" spans="1:8" ht="12.75">
      <c r="A69" s="1">
        <v>38288</v>
      </c>
      <c r="B69" t="s">
        <v>4</v>
      </c>
      <c r="C69">
        <v>42</v>
      </c>
      <c r="D69">
        <v>49</v>
      </c>
      <c r="E69">
        <f>AVERAGE(C65:C69)</f>
        <v>44.2</v>
      </c>
      <c r="F69">
        <f>AVERAGE(D65:D69)</f>
        <v>51.2</v>
      </c>
      <c r="G69">
        <f>F69-E69</f>
        <v>7</v>
      </c>
      <c r="H69" s="1">
        <v>38285</v>
      </c>
    </row>
    <row r="70" spans="1:8" ht="12.75">
      <c r="A70" s="1">
        <v>38288</v>
      </c>
      <c r="B70" t="s">
        <v>214</v>
      </c>
      <c r="C70">
        <v>47</v>
      </c>
      <c r="D70">
        <v>51</v>
      </c>
      <c r="E70">
        <f>AVERAGE(C66:C70)</f>
        <v>44.8</v>
      </c>
      <c r="F70">
        <f>AVERAGE(D66:D70)</f>
        <v>51</v>
      </c>
      <c r="G70">
        <f>F70-E70</f>
        <v>6.200000000000003</v>
      </c>
      <c r="H70" s="1">
        <v>38285</v>
      </c>
    </row>
    <row r="71" spans="1:8" ht="12.75">
      <c r="A71" s="1">
        <v>38289</v>
      </c>
      <c r="B71" t="s">
        <v>126</v>
      </c>
      <c r="C71">
        <v>43</v>
      </c>
      <c r="D71">
        <v>52</v>
      </c>
      <c r="E71">
        <f>AVERAGE(C67:C71)</f>
        <v>44.8</v>
      </c>
      <c r="F71">
        <f>AVERAGE(D67:D71)</f>
        <v>51</v>
      </c>
      <c r="G71">
        <f>F71-E71</f>
        <v>6.200000000000003</v>
      </c>
      <c r="H71" s="1">
        <v>38285</v>
      </c>
    </row>
    <row r="72" spans="1:8" ht="12.75">
      <c r="A72" s="1">
        <v>38290</v>
      </c>
      <c r="B72" t="s">
        <v>22</v>
      </c>
      <c r="C72">
        <v>44</v>
      </c>
      <c r="D72">
        <v>48</v>
      </c>
      <c r="E72">
        <f>AVERAGE(C68:C72)</f>
        <v>44.2</v>
      </c>
      <c r="F72">
        <f>AVERAGE(D68:D72)</f>
        <v>50.4</v>
      </c>
      <c r="G72">
        <f>F72-E72</f>
        <v>6.199999999999996</v>
      </c>
      <c r="H72" s="1">
        <v>38286</v>
      </c>
    </row>
    <row r="73" spans="1:8" ht="12.75">
      <c r="A73" s="1">
        <v>38289</v>
      </c>
      <c r="B73" t="s">
        <v>109</v>
      </c>
      <c r="C73">
        <v>44</v>
      </c>
      <c r="D73">
        <v>53</v>
      </c>
      <c r="E73">
        <f>AVERAGE(C69:C73)</f>
        <v>44</v>
      </c>
      <c r="F73">
        <f>AVERAGE(D69:D73)</f>
        <v>50.6</v>
      </c>
      <c r="G73">
        <f>F73-E73</f>
        <v>6.600000000000001</v>
      </c>
      <c r="H73" s="1">
        <v>38287</v>
      </c>
    </row>
    <row r="74" spans="1:8" ht="12.75">
      <c r="A74" s="1">
        <v>38290</v>
      </c>
      <c r="B74" t="s">
        <v>57</v>
      </c>
      <c r="C74">
        <v>47</v>
      </c>
      <c r="D74">
        <v>51</v>
      </c>
      <c r="E74">
        <f>AVERAGE(C70:C74)</f>
        <v>45</v>
      </c>
      <c r="F74">
        <f>AVERAGE(D70:D74)</f>
        <v>51</v>
      </c>
      <c r="G74">
        <f>F74-E74</f>
        <v>6</v>
      </c>
      <c r="H74" s="1">
        <v>38287</v>
      </c>
    </row>
    <row r="75" spans="1:8" ht="12.75">
      <c r="A75" s="1">
        <v>38292</v>
      </c>
      <c r="B75" t="s">
        <v>303</v>
      </c>
      <c r="C75">
        <v>44</v>
      </c>
      <c r="D75">
        <v>47</v>
      </c>
      <c r="E75">
        <f>AVERAGE(C71:C75)</f>
        <v>44.4</v>
      </c>
      <c r="F75">
        <f>AVERAGE(D71:D75)</f>
        <v>50.2</v>
      </c>
      <c r="G75">
        <f>F75-E75</f>
        <v>5.800000000000004</v>
      </c>
      <c r="H75" s="1">
        <v>38288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9"/>
  <sheetViews>
    <sheetView zoomScalePageLayoutView="0" workbookViewId="0" topLeftCell="A1">
      <selection activeCell="C25" sqref="C25"/>
    </sheetView>
  </sheetViews>
  <sheetFormatPr defaultColWidth="11.00390625" defaultRowHeight="12.75"/>
  <sheetData>
    <row r="3" spans="3:7" ht="12.75">
      <c r="C3" s="3" t="s">
        <v>142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9" ht="12.75">
      <c r="A5" s="1">
        <v>38116</v>
      </c>
      <c r="B5" t="s">
        <v>140</v>
      </c>
      <c r="C5">
        <v>49</v>
      </c>
      <c r="D5">
        <v>38</v>
      </c>
      <c r="E5">
        <f>AVERAGE(C1:C5)</f>
        <v>49</v>
      </c>
      <c r="F5">
        <f>AVERAGE(D1:D5)</f>
        <v>38</v>
      </c>
      <c r="G5">
        <f>F5-E5</f>
        <v>-11</v>
      </c>
      <c r="H5" s="1">
        <v>38040</v>
      </c>
      <c r="I5">
        <f aca="true" t="shared" si="0" ref="I5:I29">D5-C5</f>
        <v>-11</v>
      </c>
    </row>
    <row r="6" spans="1:9" ht="12.75">
      <c r="A6" s="1">
        <v>38051</v>
      </c>
      <c r="B6" t="s">
        <v>126</v>
      </c>
      <c r="C6">
        <v>51</v>
      </c>
      <c r="D6">
        <v>39</v>
      </c>
      <c r="E6">
        <f>AVERAGE(C2:C6)</f>
        <v>50</v>
      </c>
      <c r="F6">
        <f>AVERAGE(D2:D6)</f>
        <v>38.5</v>
      </c>
      <c r="G6">
        <f>F6-E6</f>
        <v>-11.5</v>
      </c>
      <c r="H6" s="1">
        <v>38044</v>
      </c>
      <c r="I6">
        <f t="shared" si="0"/>
        <v>-12</v>
      </c>
    </row>
    <row r="7" spans="1:9" ht="12.75">
      <c r="A7" s="1">
        <v>38116</v>
      </c>
      <c r="B7" t="s">
        <v>141</v>
      </c>
      <c r="C7">
        <v>55</v>
      </c>
      <c r="D7">
        <v>33</v>
      </c>
      <c r="E7">
        <f>AVERAGE(C3:C7)</f>
        <v>51.666666666666664</v>
      </c>
      <c r="F7">
        <f>AVERAGE(D3:D7)</f>
        <v>36.666666666666664</v>
      </c>
      <c r="G7">
        <f>F7-E7</f>
        <v>-15</v>
      </c>
      <c r="H7" s="1">
        <v>38084</v>
      </c>
      <c r="I7">
        <f t="shared" si="0"/>
        <v>-22</v>
      </c>
    </row>
    <row r="8" spans="1:9" ht="12.75">
      <c r="A8" s="1">
        <v>38116</v>
      </c>
      <c r="B8" t="s">
        <v>169</v>
      </c>
      <c r="C8">
        <v>57</v>
      </c>
      <c r="D8">
        <v>37</v>
      </c>
      <c r="E8">
        <f>AVERAGE(C4:C8)</f>
        <v>53</v>
      </c>
      <c r="F8">
        <f>AVERAGE(D4:D8)</f>
        <v>36.75</v>
      </c>
      <c r="G8">
        <f>F8-E8</f>
        <v>-16.25</v>
      </c>
      <c r="H8" s="1">
        <v>38091</v>
      </c>
      <c r="I8">
        <f t="shared" si="0"/>
        <v>-20</v>
      </c>
    </row>
    <row r="9" spans="1:9" ht="12.75">
      <c r="A9" s="1">
        <v>38116</v>
      </c>
      <c r="B9" t="s">
        <v>140</v>
      </c>
      <c r="C9">
        <v>47</v>
      </c>
      <c r="D9">
        <v>38</v>
      </c>
      <c r="E9">
        <f>AVERAGE(C5:C9)</f>
        <v>51.8</v>
      </c>
      <c r="F9">
        <f>AVERAGE(D5:D9)</f>
        <v>37</v>
      </c>
      <c r="G9">
        <f>F9-E9</f>
        <v>-14.799999999999997</v>
      </c>
      <c r="H9" s="1">
        <v>38103</v>
      </c>
      <c r="I9">
        <f t="shared" si="0"/>
        <v>-9</v>
      </c>
    </row>
    <row r="10" spans="1:9" ht="12.75">
      <c r="A10" s="1">
        <v>38130</v>
      </c>
      <c r="B10" t="s">
        <v>154</v>
      </c>
      <c r="C10">
        <v>50</v>
      </c>
      <c r="D10">
        <v>39</v>
      </c>
      <c r="E10">
        <f>AVERAGE(C6:C10)</f>
        <v>52</v>
      </c>
      <c r="F10">
        <f>AVERAGE(D6:D10)</f>
        <v>37.2</v>
      </c>
      <c r="G10">
        <f>F10-E10</f>
        <v>-14.799999999999997</v>
      </c>
      <c r="H10" s="1">
        <v>38129</v>
      </c>
      <c r="I10">
        <f t="shared" si="0"/>
        <v>-11</v>
      </c>
    </row>
    <row r="11" spans="1:9" ht="12.75">
      <c r="A11" s="1">
        <v>38164</v>
      </c>
      <c r="B11" t="s">
        <v>286</v>
      </c>
      <c r="C11">
        <v>38</v>
      </c>
      <c r="D11">
        <v>28</v>
      </c>
      <c r="E11">
        <f>AVERAGE(C7:C11)</f>
        <v>49.4</v>
      </c>
      <c r="F11">
        <f>AVERAGE(D7:D11)</f>
        <v>35</v>
      </c>
      <c r="G11">
        <f>F11-E11</f>
        <v>-14.399999999999999</v>
      </c>
      <c r="H11" s="1">
        <v>38158</v>
      </c>
      <c r="I11">
        <f t="shared" si="0"/>
        <v>-10</v>
      </c>
    </row>
    <row r="12" spans="1:9" ht="12.75">
      <c r="A12" s="1">
        <v>38168</v>
      </c>
      <c r="B12" t="s">
        <v>169</v>
      </c>
      <c r="C12">
        <v>49</v>
      </c>
      <c r="D12">
        <v>40</v>
      </c>
      <c r="E12">
        <f>AVERAGE(C8:C12)</f>
        <v>48.2</v>
      </c>
      <c r="F12">
        <f>AVERAGE(D8:D12)</f>
        <v>36.4</v>
      </c>
      <c r="G12">
        <f>F12-E12</f>
        <v>-11.800000000000004</v>
      </c>
      <c r="H12" s="1">
        <v>38162</v>
      </c>
      <c r="I12">
        <f t="shared" si="0"/>
        <v>-9</v>
      </c>
    </row>
    <row r="13" spans="1:9" ht="12.75">
      <c r="A13" s="1">
        <v>38176</v>
      </c>
      <c r="B13" t="s">
        <v>239</v>
      </c>
      <c r="C13">
        <v>39</v>
      </c>
      <c r="D13">
        <v>42</v>
      </c>
      <c r="E13">
        <f>AVERAGE(C9:C13)</f>
        <v>44.6</v>
      </c>
      <c r="F13">
        <f>AVERAGE(D9:D13)</f>
        <v>37.4</v>
      </c>
      <c r="G13">
        <f>F13-E13</f>
        <v>-7.200000000000003</v>
      </c>
      <c r="H13" s="1">
        <v>38167</v>
      </c>
      <c r="I13">
        <f t="shared" si="0"/>
        <v>3</v>
      </c>
    </row>
    <row r="14" spans="1:9" ht="12.75">
      <c r="A14" s="1">
        <v>38203</v>
      </c>
      <c r="B14" t="s">
        <v>169</v>
      </c>
      <c r="C14">
        <v>57</v>
      </c>
      <c r="D14">
        <v>38</v>
      </c>
      <c r="E14">
        <f>AVERAGE(C10:C14)</f>
        <v>46.6</v>
      </c>
      <c r="F14">
        <f>AVERAGE(D10:D14)</f>
        <v>37.4</v>
      </c>
      <c r="G14">
        <f>F14-E14</f>
        <v>-9.200000000000003</v>
      </c>
      <c r="H14" s="1">
        <v>38197</v>
      </c>
      <c r="I14">
        <f t="shared" si="0"/>
        <v>-19</v>
      </c>
    </row>
    <row r="15" spans="1:9" ht="12.75">
      <c r="A15" s="1">
        <v>38202</v>
      </c>
      <c r="B15" t="s">
        <v>93</v>
      </c>
      <c r="C15">
        <v>52</v>
      </c>
      <c r="D15">
        <v>40</v>
      </c>
      <c r="E15">
        <f>AVERAGE(C11:C15)</f>
        <v>47</v>
      </c>
      <c r="F15">
        <f>AVERAGE(D11:D15)</f>
        <v>37.6</v>
      </c>
      <c r="G15">
        <f>F15-E15</f>
        <v>-9.399999999999999</v>
      </c>
      <c r="H15" s="1">
        <v>38198</v>
      </c>
      <c r="I15">
        <f t="shared" si="0"/>
        <v>-12</v>
      </c>
    </row>
    <row r="16" spans="1:9" ht="12.75">
      <c r="A16" s="1">
        <v>38223</v>
      </c>
      <c r="B16" t="s">
        <v>301</v>
      </c>
      <c r="C16">
        <v>47</v>
      </c>
      <c r="D16">
        <v>41</v>
      </c>
      <c r="E16">
        <f>AVERAGE(C12:C16)</f>
        <v>48.8</v>
      </c>
      <c r="F16">
        <f>AVERAGE(D12:D16)</f>
        <v>40.2</v>
      </c>
      <c r="G16">
        <f>F16-E16</f>
        <v>-8.599999999999994</v>
      </c>
      <c r="H16" s="1">
        <v>38213</v>
      </c>
      <c r="I16">
        <f t="shared" si="0"/>
        <v>-6</v>
      </c>
    </row>
    <row r="17" spans="1:9" ht="12.75">
      <c r="A17" s="1">
        <v>38219</v>
      </c>
      <c r="B17" t="s">
        <v>286</v>
      </c>
      <c r="C17">
        <v>40</v>
      </c>
      <c r="D17">
        <v>30</v>
      </c>
      <c r="E17">
        <f>AVERAGE(C13:C17)</f>
        <v>47</v>
      </c>
      <c r="F17">
        <f>AVERAGE(D13:D17)</f>
        <v>38.2</v>
      </c>
      <c r="G17">
        <f>F17-E17</f>
        <v>-8.799999999999997</v>
      </c>
      <c r="H17" s="1">
        <v>38214</v>
      </c>
      <c r="I17">
        <f t="shared" si="0"/>
        <v>-10</v>
      </c>
    </row>
    <row r="18" spans="1:9" ht="12.75">
      <c r="A18" s="1">
        <v>38247</v>
      </c>
      <c r="B18" t="s">
        <v>59</v>
      </c>
      <c r="C18">
        <v>56</v>
      </c>
      <c r="D18">
        <v>39</v>
      </c>
      <c r="E18">
        <f>AVERAGE(C14:C18)</f>
        <v>50.4</v>
      </c>
      <c r="F18">
        <f>AVERAGE(D14:D18)</f>
        <v>37.6</v>
      </c>
      <c r="G18">
        <f>F18-E18</f>
        <v>-12.799999999999997</v>
      </c>
      <c r="H18" s="1">
        <v>38242</v>
      </c>
      <c r="I18">
        <f t="shared" si="0"/>
        <v>-17</v>
      </c>
    </row>
    <row r="19" spans="1:9" ht="12.75">
      <c r="A19" s="1">
        <v>38261</v>
      </c>
      <c r="B19" t="s">
        <v>140</v>
      </c>
      <c r="C19">
        <v>45</v>
      </c>
      <c r="D19">
        <v>38</v>
      </c>
      <c r="E19">
        <f>AVERAGE(C15:C19)</f>
        <v>48</v>
      </c>
      <c r="F19">
        <f>AVERAGE(D15:D19)</f>
        <v>37.6</v>
      </c>
      <c r="G19">
        <f>F19-E19</f>
        <v>-10.399999999999999</v>
      </c>
      <c r="H19" s="1">
        <v>38257</v>
      </c>
      <c r="I19">
        <f t="shared" si="0"/>
        <v>-7</v>
      </c>
    </row>
    <row r="20" spans="1:9" ht="12.75">
      <c r="A20" s="1">
        <v>38260</v>
      </c>
      <c r="B20" t="s">
        <v>169</v>
      </c>
      <c r="C20">
        <v>59</v>
      </c>
      <c r="D20">
        <v>38</v>
      </c>
      <c r="E20">
        <f>AVERAGE(C16:C20)</f>
        <v>49.4</v>
      </c>
      <c r="F20">
        <f>AVERAGE(D16:D20)</f>
        <v>37.2</v>
      </c>
      <c r="G20">
        <f>F20-E20</f>
        <v>-12.199999999999996</v>
      </c>
      <c r="H20" s="1">
        <v>38258</v>
      </c>
      <c r="I20">
        <f t="shared" si="0"/>
        <v>-21</v>
      </c>
    </row>
    <row r="21" spans="1:9" ht="12.75">
      <c r="A21" s="1">
        <v>38285</v>
      </c>
      <c r="B21" t="s">
        <v>313</v>
      </c>
      <c r="C21">
        <v>43.5</v>
      </c>
      <c r="D21">
        <v>41.5</v>
      </c>
      <c r="E21">
        <f>AVERAGE(C17:C21)</f>
        <v>48.7</v>
      </c>
      <c r="F21">
        <f>AVERAGE(D17:D21)</f>
        <v>37.3</v>
      </c>
      <c r="G21">
        <f>F21-E21</f>
        <v>-11.400000000000006</v>
      </c>
      <c r="H21" s="1">
        <v>38278</v>
      </c>
      <c r="I21">
        <f t="shared" si="0"/>
        <v>-2</v>
      </c>
    </row>
    <row r="22" spans="1:9" ht="12.75">
      <c r="A22" s="1">
        <v>38285</v>
      </c>
      <c r="B22" t="s">
        <v>311</v>
      </c>
      <c r="C22">
        <v>48</v>
      </c>
      <c r="D22">
        <v>44</v>
      </c>
      <c r="E22">
        <f>AVERAGE(C18:C22)</f>
        <v>50.3</v>
      </c>
      <c r="F22">
        <f>AVERAGE(D18:D22)</f>
        <v>40.1</v>
      </c>
      <c r="G22">
        <f>F22-E22</f>
        <v>-10.199999999999996</v>
      </c>
      <c r="H22" s="1">
        <v>38283</v>
      </c>
      <c r="I22">
        <f t="shared" si="0"/>
        <v>-4</v>
      </c>
    </row>
    <row r="23" spans="1:9" ht="12.75">
      <c r="A23" s="1">
        <v>38287</v>
      </c>
      <c r="B23" t="s">
        <v>169</v>
      </c>
      <c r="C23">
        <v>51</v>
      </c>
      <c r="D23">
        <v>46</v>
      </c>
      <c r="E23">
        <f>AVERAGE(C19:C23)</f>
        <v>49.3</v>
      </c>
      <c r="F23">
        <f>AVERAGE(D19:D23)</f>
        <v>41.5</v>
      </c>
      <c r="G23">
        <f>F23-E23</f>
        <v>-7.799999999999997</v>
      </c>
      <c r="H23" s="1">
        <v>38285</v>
      </c>
      <c r="I23">
        <f t="shared" si="0"/>
        <v>-5</v>
      </c>
    </row>
    <row r="24" spans="1:9" ht="12.75">
      <c r="A24" s="1">
        <v>38288</v>
      </c>
      <c r="B24" t="s">
        <v>286</v>
      </c>
      <c r="C24">
        <v>46</v>
      </c>
      <c r="D24">
        <v>44</v>
      </c>
      <c r="E24">
        <f>AVERAGE(C20:C24)</f>
        <v>49.5</v>
      </c>
      <c r="F24">
        <f>AVERAGE(D20:D24)</f>
        <v>42.7</v>
      </c>
      <c r="G24">
        <f>F24-E24</f>
        <v>-6.799999999999997</v>
      </c>
      <c r="H24" s="1">
        <v>38285</v>
      </c>
      <c r="I24">
        <f t="shared" si="0"/>
        <v>-2</v>
      </c>
    </row>
    <row r="25" spans="1:9" ht="12.75">
      <c r="A25" s="1">
        <v>38287</v>
      </c>
      <c r="B25" t="s">
        <v>158</v>
      </c>
      <c r="C25">
        <v>49</v>
      </c>
      <c r="D25">
        <v>41</v>
      </c>
      <c r="E25">
        <f>AVERAGE(C21:C25)</f>
        <v>47.5</v>
      </c>
      <c r="F25">
        <f>AVERAGE(D21:D25)</f>
        <v>43.3</v>
      </c>
      <c r="G25">
        <f>F25-E25</f>
        <v>-4.200000000000003</v>
      </c>
      <c r="H25" s="1">
        <v>38286</v>
      </c>
      <c r="I25">
        <f t="shared" si="0"/>
        <v>-8</v>
      </c>
    </row>
    <row r="26" spans="1:9" ht="12.75">
      <c r="A26" s="1">
        <v>38289</v>
      </c>
      <c r="B26" t="s">
        <v>109</v>
      </c>
      <c r="C26">
        <v>53</v>
      </c>
      <c r="D26">
        <v>46</v>
      </c>
      <c r="E26">
        <f>AVERAGE(C22:C26)</f>
        <v>49.4</v>
      </c>
      <c r="F26">
        <f>AVERAGE(D22:D26)</f>
        <v>44.2</v>
      </c>
      <c r="G26">
        <f>F26-E26</f>
        <v>-5.199999999999996</v>
      </c>
      <c r="H26" s="1">
        <v>38287</v>
      </c>
      <c r="I26">
        <f t="shared" si="0"/>
        <v>-7</v>
      </c>
    </row>
    <row r="27" spans="1:9" ht="12.75">
      <c r="A27" s="1">
        <v>38290</v>
      </c>
      <c r="B27" t="s">
        <v>301</v>
      </c>
      <c r="C27">
        <v>48</v>
      </c>
      <c r="D27">
        <v>44</v>
      </c>
      <c r="E27">
        <f>AVERAGE(C23:C27)</f>
        <v>49.4</v>
      </c>
      <c r="F27">
        <f>AVERAGE(D23:D27)</f>
        <v>44.2</v>
      </c>
      <c r="G27">
        <f>F27-E27</f>
        <v>-5.199999999999996</v>
      </c>
      <c r="H27" s="1">
        <v>38287</v>
      </c>
      <c r="I27">
        <f t="shared" si="0"/>
        <v>-4</v>
      </c>
    </row>
    <row r="28" spans="1:9" ht="12.75">
      <c r="A28" s="1">
        <v>38291</v>
      </c>
      <c r="B28" t="s">
        <v>81</v>
      </c>
      <c r="C28">
        <v>48</v>
      </c>
      <c r="D28">
        <v>47</v>
      </c>
      <c r="E28">
        <f>AVERAGE(C24:C28)</f>
        <v>48.8</v>
      </c>
      <c r="F28">
        <f>AVERAGE(D24:D28)</f>
        <v>44.4</v>
      </c>
      <c r="G28">
        <f>F28-E28</f>
        <v>-4.399999999999999</v>
      </c>
      <c r="H28" s="1">
        <v>38289</v>
      </c>
      <c r="I28">
        <f t="shared" si="0"/>
        <v>-1</v>
      </c>
    </row>
    <row r="29" spans="1:9" ht="12.75">
      <c r="A29" s="1">
        <v>38291</v>
      </c>
      <c r="B29" t="s">
        <v>59</v>
      </c>
      <c r="C29">
        <v>50</v>
      </c>
      <c r="D29">
        <v>46</v>
      </c>
      <c r="E29">
        <f>AVERAGE(C25:C29)</f>
        <v>49.6</v>
      </c>
      <c r="F29">
        <f>AVERAGE(D25:D29)</f>
        <v>44.8</v>
      </c>
      <c r="G29">
        <f>F29-E29</f>
        <v>-4.800000000000004</v>
      </c>
      <c r="H29" s="1">
        <v>38289</v>
      </c>
      <c r="I29">
        <f t="shared" si="0"/>
        <v>-4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3:I43"/>
  <sheetViews>
    <sheetView zoomScalePageLayoutView="0" workbookViewId="0" topLeftCell="A1">
      <selection activeCell="A53" sqref="A53"/>
    </sheetView>
  </sheetViews>
  <sheetFormatPr defaultColWidth="11.00390625" defaultRowHeight="12.75"/>
  <sheetData>
    <row r="3" spans="3:7" ht="12.75">
      <c r="C3" s="3" t="s">
        <v>138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37950</v>
      </c>
      <c r="B5" t="s">
        <v>126</v>
      </c>
      <c r="C5">
        <v>46</v>
      </c>
      <c r="D5">
        <v>45</v>
      </c>
      <c r="E5">
        <f>AVERAGE(C1:C5)</f>
        <v>46</v>
      </c>
      <c r="F5">
        <f>AVERAGE(D1:D5)</f>
        <v>45</v>
      </c>
      <c r="G5">
        <f>F5-E5</f>
        <v>-1</v>
      </c>
      <c r="H5" s="1">
        <v>37935</v>
      </c>
    </row>
    <row r="6" spans="1:8" ht="12.75">
      <c r="A6" s="1">
        <v>37974</v>
      </c>
      <c r="B6" t="s">
        <v>126</v>
      </c>
      <c r="C6">
        <v>43</v>
      </c>
      <c r="D6">
        <v>50</v>
      </c>
      <c r="E6">
        <f>AVERAGE(C2:C6)</f>
        <v>44.5</v>
      </c>
      <c r="F6">
        <f>AVERAGE(D2:D6)</f>
        <v>47.5</v>
      </c>
      <c r="G6">
        <f>F6-E6</f>
        <v>3</v>
      </c>
      <c r="H6" s="1">
        <v>37969</v>
      </c>
    </row>
    <row r="7" spans="1:9" ht="12.75">
      <c r="A7" s="1">
        <v>38088</v>
      </c>
      <c r="B7" t="s">
        <v>169</v>
      </c>
      <c r="C7">
        <v>45</v>
      </c>
      <c r="D7">
        <v>44</v>
      </c>
      <c r="E7">
        <f>AVERAGE(C3:C7)</f>
        <v>44.666666666666664</v>
      </c>
      <c r="F7">
        <f>AVERAGE(D3:D7)</f>
        <v>46.333333333333336</v>
      </c>
      <c r="G7">
        <f>F7-E7</f>
        <v>1.6666666666666714</v>
      </c>
      <c r="H7" s="1">
        <v>38044</v>
      </c>
      <c r="I7" t="s">
        <v>74</v>
      </c>
    </row>
    <row r="8" spans="1:9" ht="12.75">
      <c r="A8" s="1">
        <v>38051</v>
      </c>
      <c r="B8" t="s">
        <v>126</v>
      </c>
      <c r="C8">
        <v>38</v>
      </c>
      <c r="D8">
        <v>52</v>
      </c>
      <c r="E8">
        <f>AVERAGE(C4:C8)</f>
        <v>43</v>
      </c>
      <c r="F8">
        <f>AVERAGE(D4:D8)</f>
        <v>47.75</v>
      </c>
      <c r="G8">
        <f>F8-E8</f>
        <v>4.75</v>
      </c>
      <c r="H8" s="1">
        <v>38044</v>
      </c>
      <c r="I8" t="s">
        <v>74</v>
      </c>
    </row>
    <row r="9" spans="1:9" ht="12.75">
      <c r="A9" s="1">
        <v>38088</v>
      </c>
      <c r="B9" t="s">
        <v>126</v>
      </c>
      <c r="C9">
        <v>41</v>
      </c>
      <c r="D9">
        <v>52</v>
      </c>
      <c r="E9">
        <f>AVERAGE(C5:C9)</f>
        <v>42.6</v>
      </c>
      <c r="F9">
        <f>AVERAGE(D5:D9)</f>
        <v>48.6</v>
      </c>
      <c r="G9">
        <f>F9-E9</f>
        <v>6</v>
      </c>
      <c r="H9" s="1">
        <v>38061</v>
      </c>
      <c r="I9" t="s">
        <v>74</v>
      </c>
    </row>
    <row r="10" spans="1:8" ht="12.75">
      <c r="A10" s="1">
        <v>38088</v>
      </c>
      <c r="B10" t="s">
        <v>305</v>
      </c>
      <c r="C10">
        <v>39</v>
      </c>
      <c r="D10">
        <v>45</v>
      </c>
      <c r="E10">
        <f>AVERAGE(C6:C10)</f>
        <v>41.2</v>
      </c>
      <c r="F10">
        <f>AVERAGE(D6:D10)</f>
        <v>48.6</v>
      </c>
      <c r="G10">
        <f>F10-E10</f>
        <v>7.399999999999999</v>
      </c>
      <c r="H10" s="1">
        <v>38065</v>
      </c>
    </row>
    <row r="11" spans="1:9" ht="12.75">
      <c r="A11" s="1">
        <v>38077</v>
      </c>
      <c r="B11" t="s">
        <v>169</v>
      </c>
      <c r="C11">
        <v>43</v>
      </c>
      <c r="D11">
        <v>48</v>
      </c>
      <c r="E11">
        <f>AVERAGE(C7:C11)</f>
        <v>41.2</v>
      </c>
      <c r="F11">
        <f>AVERAGE(D7:D11)</f>
        <v>48.2</v>
      </c>
      <c r="G11">
        <f>F11-E11</f>
        <v>7</v>
      </c>
      <c r="H11" s="1">
        <v>38072</v>
      </c>
      <c r="I11" t="s">
        <v>74</v>
      </c>
    </row>
    <row r="12" spans="1:9" ht="12.75">
      <c r="A12" s="1">
        <v>38084</v>
      </c>
      <c r="B12" t="s">
        <v>126</v>
      </c>
      <c r="C12">
        <v>44</v>
      </c>
      <c r="D12">
        <v>51</v>
      </c>
      <c r="E12">
        <f>AVERAGE(C8:C12)</f>
        <v>41</v>
      </c>
      <c r="F12">
        <f>AVERAGE(D8:D12)</f>
        <v>49.6</v>
      </c>
      <c r="G12">
        <f>F12-E12</f>
        <v>8.600000000000001</v>
      </c>
      <c r="H12" s="1">
        <v>38083</v>
      </c>
      <c r="I12" t="s">
        <v>74</v>
      </c>
    </row>
    <row r="13" spans="1:8" ht="12.75">
      <c r="A13" s="1">
        <v>38094</v>
      </c>
      <c r="B13" t="s">
        <v>126</v>
      </c>
      <c r="C13">
        <v>40</v>
      </c>
      <c r="D13">
        <v>53</v>
      </c>
      <c r="E13">
        <f>AVERAGE(C9:C13)</f>
        <v>41.4</v>
      </c>
      <c r="F13">
        <f>AVERAGE(D9:D13)</f>
        <v>49.8</v>
      </c>
      <c r="G13">
        <f>F13-E13</f>
        <v>8.399999999999999</v>
      </c>
      <c r="H13" s="1">
        <v>38093</v>
      </c>
    </row>
    <row r="14" spans="1:8" ht="12.75">
      <c r="A14" s="1">
        <v>38120</v>
      </c>
      <c r="B14" t="s">
        <v>126</v>
      </c>
      <c r="C14">
        <v>42</v>
      </c>
      <c r="D14">
        <v>54</v>
      </c>
      <c r="E14">
        <f>AVERAGE(C10:C14)</f>
        <v>41.6</v>
      </c>
      <c r="F14">
        <f>AVERAGE(D10:D14)</f>
        <v>50.2</v>
      </c>
      <c r="G14">
        <f>F14-E14</f>
        <v>8.600000000000001</v>
      </c>
      <c r="H14" s="1">
        <v>38118</v>
      </c>
    </row>
    <row r="15" spans="1:8" ht="12.75">
      <c r="A15" s="1">
        <v>38123</v>
      </c>
      <c r="B15" t="s">
        <v>169</v>
      </c>
      <c r="C15">
        <v>40</v>
      </c>
      <c r="D15">
        <v>51</v>
      </c>
      <c r="E15">
        <f>AVERAGE(C11:C15)</f>
        <v>41.8</v>
      </c>
      <c r="F15">
        <f>AVERAGE(D11:D15)</f>
        <v>51.4</v>
      </c>
      <c r="G15">
        <f>F15-E15</f>
        <v>9.600000000000001</v>
      </c>
      <c r="H15" s="1">
        <v>38118</v>
      </c>
    </row>
    <row r="16" spans="1:8" ht="12.75">
      <c r="A16" s="1">
        <v>38140</v>
      </c>
      <c r="B16" t="s">
        <v>126</v>
      </c>
      <c r="C16">
        <v>36</v>
      </c>
      <c r="D16">
        <v>52</v>
      </c>
      <c r="E16">
        <f>AVERAGE(C12:C16)</f>
        <v>40.4</v>
      </c>
      <c r="F16">
        <f>AVERAGE(D12:D16)</f>
        <v>52.2</v>
      </c>
      <c r="G16">
        <f>F16-E16</f>
        <v>11.800000000000004</v>
      </c>
      <c r="H16" s="1">
        <v>38124</v>
      </c>
    </row>
    <row r="17" spans="1:8" ht="12.75">
      <c r="A17" s="1">
        <v>38139</v>
      </c>
      <c r="B17" t="s">
        <v>305</v>
      </c>
      <c r="C17">
        <v>38</v>
      </c>
      <c r="D17">
        <v>44</v>
      </c>
      <c r="E17">
        <f>AVERAGE(C13:C17)</f>
        <v>39.2</v>
      </c>
      <c r="F17">
        <f>AVERAGE(D13:D17)</f>
        <v>50.8</v>
      </c>
      <c r="G17">
        <f>F17-E17</f>
        <v>11.599999999999994</v>
      </c>
      <c r="H17" s="1">
        <v>38131</v>
      </c>
    </row>
    <row r="18" spans="1:8" ht="12.75">
      <c r="A18" s="1">
        <v>38149</v>
      </c>
      <c r="B18" t="s">
        <v>169</v>
      </c>
      <c r="C18">
        <v>35</v>
      </c>
      <c r="D18">
        <v>53</v>
      </c>
      <c r="E18">
        <f>AVERAGE(C14:C18)</f>
        <v>38.2</v>
      </c>
      <c r="F18">
        <f>AVERAGE(D14:D18)</f>
        <v>50.8</v>
      </c>
      <c r="G18">
        <f>F18-E18</f>
        <v>12.599999999999994</v>
      </c>
      <c r="H18" s="1">
        <v>38146</v>
      </c>
    </row>
    <row r="19" spans="1:8" ht="12.75">
      <c r="A19" s="1">
        <v>38148</v>
      </c>
      <c r="B19" t="s">
        <v>126</v>
      </c>
      <c r="C19">
        <v>39</v>
      </c>
      <c r="D19">
        <v>56</v>
      </c>
      <c r="E19">
        <f>AVERAGE(C15:C19)</f>
        <v>37.6</v>
      </c>
      <c r="F19">
        <f>AVERAGE(D15:D19)</f>
        <v>51.2</v>
      </c>
      <c r="G19">
        <f>F19-E19</f>
        <v>13.600000000000001</v>
      </c>
      <c r="H19" s="1">
        <v>38147</v>
      </c>
    </row>
    <row r="20" spans="1:8" ht="12.75">
      <c r="A20" s="1">
        <v>38161</v>
      </c>
      <c r="B20" t="s">
        <v>126</v>
      </c>
      <c r="C20">
        <v>40</v>
      </c>
      <c r="D20">
        <v>55</v>
      </c>
      <c r="E20">
        <f>AVERAGE(C16:C20)</f>
        <v>37.6</v>
      </c>
      <c r="F20">
        <f>AVERAGE(D16:D20)</f>
        <v>52</v>
      </c>
      <c r="G20">
        <f>F20-E20</f>
        <v>14.399999999999999</v>
      </c>
      <c r="H20" s="1">
        <v>38160</v>
      </c>
    </row>
    <row r="21" spans="1:8" ht="12.75">
      <c r="A21" s="1">
        <v>38171</v>
      </c>
      <c r="B21" t="s">
        <v>85</v>
      </c>
      <c r="C21">
        <v>39</v>
      </c>
      <c r="D21">
        <v>47</v>
      </c>
      <c r="E21">
        <f>AVERAGE(C17:C21)</f>
        <v>38.2</v>
      </c>
      <c r="F21">
        <f>AVERAGE(D17:D21)</f>
        <v>51</v>
      </c>
      <c r="G21">
        <f>F21-E21</f>
        <v>12.799999999999997</v>
      </c>
      <c r="H21" s="1">
        <v>38163</v>
      </c>
    </row>
    <row r="22" spans="1:8" ht="12.75">
      <c r="A22" s="1">
        <v>38176</v>
      </c>
      <c r="B22" t="s">
        <v>239</v>
      </c>
      <c r="C22">
        <v>35</v>
      </c>
      <c r="D22">
        <v>48</v>
      </c>
      <c r="E22">
        <f>AVERAGE(C18:C22)</f>
        <v>37.6</v>
      </c>
      <c r="F22">
        <f>AVERAGE(D18:D22)</f>
        <v>51.8</v>
      </c>
      <c r="G22">
        <f>F22-E22</f>
        <v>14.199999999999996</v>
      </c>
      <c r="H22" s="1">
        <v>38167</v>
      </c>
    </row>
    <row r="23" spans="1:8" ht="12.75">
      <c r="A23" s="1">
        <v>38179</v>
      </c>
      <c r="B23" t="s">
        <v>169</v>
      </c>
      <c r="C23">
        <v>43</v>
      </c>
      <c r="D23">
        <v>51</v>
      </c>
      <c r="E23">
        <f>AVERAGE(C19:C23)</f>
        <v>39.2</v>
      </c>
      <c r="F23">
        <f>AVERAGE(D19:D23)</f>
        <v>51.4</v>
      </c>
      <c r="G23">
        <f>F23-E23</f>
        <v>12.199999999999996</v>
      </c>
      <c r="H23" s="1">
        <v>38176</v>
      </c>
    </row>
    <row r="24" spans="1:8" ht="12.75">
      <c r="A24" s="1">
        <v>38182</v>
      </c>
      <c r="B24" t="s">
        <v>315</v>
      </c>
      <c r="C24">
        <v>37</v>
      </c>
      <c r="D24">
        <v>47</v>
      </c>
      <c r="E24">
        <f>AVERAGE(C20:C24)</f>
        <v>38.8</v>
      </c>
      <c r="F24">
        <f>AVERAGE(D20:D24)</f>
        <v>49.6</v>
      </c>
      <c r="G24">
        <f>F24-E24</f>
        <v>10.800000000000004</v>
      </c>
      <c r="H24" s="1">
        <v>38177</v>
      </c>
    </row>
    <row r="25" spans="1:8" ht="12.75">
      <c r="A25" s="1">
        <v>38184</v>
      </c>
      <c r="B25" t="s">
        <v>126</v>
      </c>
      <c r="C25">
        <v>39</v>
      </c>
      <c r="D25">
        <v>55</v>
      </c>
      <c r="E25">
        <f>AVERAGE(C21:C25)</f>
        <v>38.6</v>
      </c>
      <c r="F25">
        <f>AVERAGE(D21:D25)</f>
        <v>49.6</v>
      </c>
      <c r="G25">
        <f>F25-E25</f>
        <v>11</v>
      </c>
      <c r="H25" s="1">
        <v>38182</v>
      </c>
    </row>
    <row r="26" spans="1:8" ht="12.75">
      <c r="A26" s="1">
        <v>38199</v>
      </c>
      <c r="B26" t="s">
        <v>103</v>
      </c>
      <c r="C26">
        <v>37</v>
      </c>
      <c r="D26">
        <v>48</v>
      </c>
      <c r="E26">
        <f>AVERAGE(C22:C26)</f>
        <v>38.2</v>
      </c>
      <c r="F26">
        <f>AVERAGE(D22:D26)</f>
        <v>49.8</v>
      </c>
      <c r="G26">
        <f>F26-E26</f>
        <v>11.599999999999994</v>
      </c>
      <c r="H26" s="1">
        <v>38194</v>
      </c>
    </row>
    <row r="27" spans="1:8" ht="12.75">
      <c r="A27" s="1">
        <v>38204</v>
      </c>
      <c r="B27" t="s">
        <v>305</v>
      </c>
      <c r="C27">
        <v>35</v>
      </c>
      <c r="D27">
        <v>47</v>
      </c>
      <c r="E27">
        <f>AVERAGE(C23:C27)</f>
        <v>38.2</v>
      </c>
      <c r="F27">
        <f>AVERAGE(D23:D27)</f>
        <v>49.6</v>
      </c>
      <c r="G27">
        <f>F27-E27</f>
        <v>11.399999999999999</v>
      </c>
      <c r="H27" s="1">
        <v>38198</v>
      </c>
    </row>
    <row r="28" spans="1:8" ht="12.75">
      <c r="A28" s="1">
        <v>38206</v>
      </c>
      <c r="B28" t="s">
        <v>169</v>
      </c>
      <c r="C28">
        <v>42</v>
      </c>
      <c r="D28">
        <v>54</v>
      </c>
      <c r="E28">
        <f>AVERAGE(C24:C28)</f>
        <v>38</v>
      </c>
      <c r="F28">
        <f>AVERAGE(D24:D28)</f>
        <v>50.2</v>
      </c>
      <c r="G28">
        <f>F28-E28</f>
        <v>12.200000000000003</v>
      </c>
      <c r="H28" s="1">
        <v>38204</v>
      </c>
    </row>
    <row r="29" spans="1:8" ht="12.75">
      <c r="A29" s="1">
        <v>38212</v>
      </c>
      <c r="B29" t="s">
        <v>126</v>
      </c>
      <c r="C29">
        <v>44</v>
      </c>
      <c r="D29">
        <v>51</v>
      </c>
      <c r="E29">
        <f>AVERAGE(C25:C29)</f>
        <v>39.4</v>
      </c>
      <c r="F29">
        <f>AVERAGE(D25:D29)</f>
        <v>51</v>
      </c>
      <c r="G29">
        <f>F29-E29</f>
        <v>11.600000000000001</v>
      </c>
      <c r="H29" s="1">
        <v>38210</v>
      </c>
    </row>
    <row r="30" spans="1:8" ht="12.75">
      <c r="A30" s="1">
        <v>38238</v>
      </c>
      <c r="B30" t="s">
        <v>126</v>
      </c>
      <c r="C30">
        <v>45</v>
      </c>
      <c r="D30">
        <v>49</v>
      </c>
      <c r="E30">
        <f>AVERAGE(C26:C30)</f>
        <v>40.6</v>
      </c>
      <c r="F30">
        <f>AVERAGE(D26:D30)</f>
        <v>49.8</v>
      </c>
      <c r="G30">
        <f>F30-E30</f>
        <v>9.199999999999996</v>
      </c>
      <c r="H30" s="1">
        <v>38236</v>
      </c>
    </row>
    <row r="31" spans="1:8" ht="12.75">
      <c r="A31" s="1">
        <v>38245</v>
      </c>
      <c r="B31" t="s">
        <v>305</v>
      </c>
      <c r="C31">
        <v>37</v>
      </c>
      <c r="D31">
        <v>46</v>
      </c>
      <c r="E31">
        <f>AVERAGE(C27:C31)</f>
        <v>40.6</v>
      </c>
      <c r="F31">
        <f>AVERAGE(D27:D31)</f>
        <v>49.4</v>
      </c>
      <c r="G31">
        <f>F31-E31</f>
        <v>8.799999999999997</v>
      </c>
      <c r="H31" s="1">
        <v>38237</v>
      </c>
    </row>
    <row r="32" spans="1:8" ht="12.75">
      <c r="A32" s="1">
        <v>38241</v>
      </c>
      <c r="B32" t="s">
        <v>169</v>
      </c>
      <c r="C32">
        <v>47</v>
      </c>
      <c r="D32">
        <v>49</v>
      </c>
      <c r="E32">
        <f>AVERAGE(C28:C32)</f>
        <v>43</v>
      </c>
      <c r="F32">
        <f>AVERAGE(D28:D32)</f>
        <v>49.8</v>
      </c>
      <c r="G32">
        <f>F32-E32</f>
        <v>6.799999999999997</v>
      </c>
      <c r="H32" s="1">
        <v>38239</v>
      </c>
    </row>
    <row r="33" spans="1:8" ht="12.75">
      <c r="A33" s="1">
        <v>38249</v>
      </c>
      <c r="B33" t="s">
        <v>103</v>
      </c>
      <c r="C33">
        <v>42</v>
      </c>
      <c r="D33">
        <v>47</v>
      </c>
      <c r="E33">
        <f>AVERAGE(C29:C33)</f>
        <v>43</v>
      </c>
      <c r="F33">
        <f>AVERAGE(D29:D33)</f>
        <v>48.4</v>
      </c>
      <c r="G33">
        <f>F33-E33</f>
        <v>5.399999999999999</v>
      </c>
      <c r="H33" s="1">
        <v>38245</v>
      </c>
    </row>
    <row r="34" spans="1:8" ht="12.75">
      <c r="A34" s="1">
        <v>38249</v>
      </c>
      <c r="B34" t="s">
        <v>59</v>
      </c>
      <c r="C34">
        <v>44</v>
      </c>
      <c r="D34">
        <v>50</v>
      </c>
      <c r="E34">
        <f>AVERAGE(C30:C34)</f>
        <v>43</v>
      </c>
      <c r="F34">
        <f>AVERAGE(D30:D34)</f>
        <v>48.2</v>
      </c>
      <c r="G34">
        <f>F34-E34</f>
        <v>5.200000000000003</v>
      </c>
      <c r="H34" s="1">
        <v>38247</v>
      </c>
    </row>
    <row r="35" spans="1:8" ht="12.75">
      <c r="A35" s="1">
        <v>38254</v>
      </c>
      <c r="B35" t="s">
        <v>126</v>
      </c>
      <c r="C35">
        <v>43</v>
      </c>
      <c r="D35">
        <v>54</v>
      </c>
      <c r="E35">
        <f>AVERAGE(C31:C35)</f>
        <v>42.6</v>
      </c>
      <c r="F35">
        <f>AVERAGE(D31:D35)</f>
        <v>49.2</v>
      </c>
      <c r="G35">
        <f>F35-E35</f>
        <v>6.600000000000001</v>
      </c>
      <c r="H35" s="1">
        <v>38251</v>
      </c>
    </row>
    <row r="36" spans="1:8" ht="12.75">
      <c r="A36" s="1">
        <v>38263</v>
      </c>
      <c r="B36" t="s">
        <v>169</v>
      </c>
      <c r="C36">
        <v>43</v>
      </c>
      <c r="D36">
        <v>53</v>
      </c>
      <c r="E36">
        <f>AVERAGE(C32:C36)</f>
        <v>43.8</v>
      </c>
      <c r="F36">
        <f>AVERAGE(D32:D36)</f>
        <v>50.6</v>
      </c>
      <c r="G36">
        <f>F36-E36</f>
        <v>6.800000000000004</v>
      </c>
      <c r="H36" s="1">
        <v>38261</v>
      </c>
    </row>
    <row r="37" spans="1:8" ht="12.75">
      <c r="A37" s="1">
        <v>38274</v>
      </c>
      <c r="B37" t="s">
        <v>126</v>
      </c>
      <c r="C37">
        <v>40</v>
      </c>
      <c r="D37">
        <v>56</v>
      </c>
      <c r="E37">
        <f>AVERAGE(C33:C37)</f>
        <v>42.4</v>
      </c>
      <c r="F37">
        <f>AVERAGE(D33:D37)</f>
        <v>52</v>
      </c>
      <c r="G37">
        <f>F37-E37</f>
        <v>9.600000000000001</v>
      </c>
      <c r="H37" s="1">
        <v>38272</v>
      </c>
    </row>
    <row r="38" spans="1:8" ht="12.75">
      <c r="A38" s="1">
        <v>38281</v>
      </c>
      <c r="B38" t="s">
        <v>305</v>
      </c>
      <c r="C38">
        <v>36</v>
      </c>
      <c r="D38">
        <v>55</v>
      </c>
      <c r="E38">
        <f>AVERAGE(C34:C38)</f>
        <v>41.2</v>
      </c>
      <c r="F38">
        <f>AVERAGE(D34:D38)</f>
        <v>53.6</v>
      </c>
      <c r="G38">
        <f>F38-E38</f>
        <v>12.399999999999999</v>
      </c>
      <c r="H38" s="1">
        <v>38278</v>
      </c>
    </row>
    <row r="39" spans="1:8" ht="12.75">
      <c r="A39" s="1">
        <v>38283</v>
      </c>
      <c r="B39" t="s">
        <v>169</v>
      </c>
      <c r="C39">
        <v>43</v>
      </c>
      <c r="D39">
        <v>54</v>
      </c>
      <c r="E39">
        <f>AVERAGE(C35:C39)</f>
        <v>41</v>
      </c>
      <c r="F39">
        <f>AVERAGE(D35:D39)</f>
        <v>54.4</v>
      </c>
      <c r="G39">
        <f>F39-E39</f>
        <v>13.399999999999999</v>
      </c>
      <c r="H39" s="1">
        <v>38281</v>
      </c>
    </row>
    <row r="40" spans="1:8" ht="12.75">
      <c r="A40" s="1">
        <v>38287</v>
      </c>
      <c r="B40" t="s">
        <v>157</v>
      </c>
      <c r="C40">
        <v>34</v>
      </c>
      <c r="D40">
        <v>55</v>
      </c>
      <c r="E40">
        <f>AVERAGE(C36:C40)</f>
        <v>39.2</v>
      </c>
      <c r="F40">
        <f>AVERAGE(D36:D40)</f>
        <v>54.6</v>
      </c>
      <c r="G40">
        <f>F40-E40</f>
        <v>15.399999999999999</v>
      </c>
      <c r="H40" s="1">
        <v>38285</v>
      </c>
    </row>
    <row r="41" spans="1:8" ht="12.75">
      <c r="A41" s="1">
        <v>38288</v>
      </c>
      <c r="B41" t="s">
        <v>103</v>
      </c>
      <c r="C41">
        <v>42</v>
      </c>
      <c r="D41">
        <v>54</v>
      </c>
      <c r="E41">
        <f>AVERAGE(C37:C41)</f>
        <v>39</v>
      </c>
      <c r="F41">
        <f>AVERAGE(D37:D41)</f>
        <v>54.8</v>
      </c>
      <c r="G41">
        <f>F41-E41</f>
        <v>15.799999999999997</v>
      </c>
      <c r="H41" s="1">
        <v>38285</v>
      </c>
    </row>
    <row r="42" spans="1:8" ht="12.75">
      <c r="A42" s="1">
        <v>38288</v>
      </c>
      <c r="B42" t="s">
        <v>126</v>
      </c>
      <c r="C42">
        <v>39</v>
      </c>
      <c r="D42">
        <v>56</v>
      </c>
      <c r="E42">
        <f>AVERAGE(C38:C42)</f>
        <v>38.8</v>
      </c>
      <c r="F42">
        <f>AVERAGE(D38:D42)</f>
        <v>54.8</v>
      </c>
      <c r="G42">
        <f>F42-E42</f>
        <v>16</v>
      </c>
      <c r="H42" s="1">
        <v>38286</v>
      </c>
    </row>
    <row r="43" spans="1:8" ht="12.75">
      <c r="A43" s="1">
        <v>38292</v>
      </c>
      <c r="B43" t="s">
        <v>10</v>
      </c>
      <c r="C43">
        <v>39</v>
      </c>
      <c r="D43">
        <v>51</v>
      </c>
      <c r="E43">
        <f>AVERAGE(C39:C43)</f>
        <v>39.4</v>
      </c>
      <c r="F43">
        <f>AVERAGE(D39:D43)</f>
        <v>54</v>
      </c>
      <c r="G43">
        <f>F43-E43</f>
        <v>14.600000000000001</v>
      </c>
      <c r="H43" s="1">
        <v>38290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3:K22"/>
  <sheetViews>
    <sheetView zoomScalePageLayoutView="0" workbookViewId="0" topLeftCell="A1">
      <selection activeCell="C17" sqref="C17"/>
    </sheetView>
  </sheetViews>
  <sheetFormatPr defaultColWidth="11.00390625" defaultRowHeight="12.75"/>
  <sheetData>
    <row r="3" spans="3:7" ht="12.75">
      <c r="C3" s="3" t="s">
        <v>88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53</v>
      </c>
      <c r="D5">
        <v>35</v>
      </c>
      <c r="E5">
        <f aca="true" t="shared" si="0" ref="E5:E21">AVERAGE(C1:C5)</f>
        <v>53</v>
      </c>
      <c r="F5">
        <f aca="true" t="shared" si="1" ref="F5:F21">AVERAGE(D1:D5)</f>
        <v>35</v>
      </c>
      <c r="G5">
        <f aca="true" t="shared" si="2" ref="G5:G21">F5-E5</f>
        <v>-18</v>
      </c>
      <c r="H5" s="1">
        <v>38044</v>
      </c>
    </row>
    <row r="6" spans="1:8" ht="12.75">
      <c r="A6" s="1">
        <v>38144</v>
      </c>
      <c r="B6" t="s">
        <v>169</v>
      </c>
      <c r="C6">
        <v>45</v>
      </c>
      <c r="D6">
        <v>37</v>
      </c>
      <c r="E6">
        <f t="shared" si="0"/>
        <v>49</v>
      </c>
      <c r="F6">
        <f t="shared" si="1"/>
        <v>36</v>
      </c>
      <c r="G6">
        <f t="shared" si="2"/>
        <v>-13</v>
      </c>
      <c r="H6" s="1">
        <v>38139</v>
      </c>
    </row>
    <row r="7" spans="1:8" ht="12.75">
      <c r="A7" s="1">
        <v>38241</v>
      </c>
      <c r="B7" t="s">
        <v>287</v>
      </c>
      <c r="C7">
        <v>44</v>
      </c>
      <c r="D7">
        <v>39</v>
      </c>
      <c r="E7">
        <f t="shared" si="0"/>
        <v>47.333333333333336</v>
      </c>
      <c r="F7">
        <f t="shared" si="1"/>
        <v>37</v>
      </c>
      <c r="G7">
        <f t="shared" si="2"/>
        <v>-10.333333333333336</v>
      </c>
      <c r="H7" s="1">
        <v>38237</v>
      </c>
    </row>
    <row r="8" spans="1:8" ht="12.75">
      <c r="A8" s="1">
        <v>38247</v>
      </c>
      <c r="B8" t="s">
        <v>59</v>
      </c>
      <c r="C8">
        <v>49</v>
      </c>
      <c r="D8">
        <v>45</v>
      </c>
      <c r="E8">
        <f t="shared" si="0"/>
        <v>47.75</v>
      </c>
      <c r="F8">
        <f t="shared" si="1"/>
        <v>39</v>
      </c>
      <c r="G8">
        <f t="shared" si="2"/>
        <v>-8.75</v>
      </c>
      <c r="H8" s="1">
        <v>38242</v>
      </c>
    </row>
    <row r="9" spans="1:8" ht="12.75">
      <c r="A9" s="1">
        <v>38254</v>
      </c>
      <c r="B9" t="s">
        <v>109</v>
      </c>
      <c r="C9">
        <v>49</v>
      </c>
      <c r="D9">
        <v>44</v>
      </c>
      <c r="E9">
        <f t="shared" si="0"/>
        <v>48</v>
      </c>
      <c r="F9">
        <f t="shared" si="1"/>
        <v>40</v>
      </c>
      <c r="G9">
        <f t="shared" si="2"/>
        <v>-8</v>
      </c>
      <c r="H9" s="1">
        <v>38252</v>
      </c>
    </row>
    <row r="10" spans="1:8" ht="12.75">
      <c r="A10" s="1">
        <v>38255</v>
      </c>
      <c r="B10" t="s">
        <v>169</v>
      </c>
      <c r="C10">
        <v>50</v>
      </c>
      <c r="D10">
        <v>42</v>
      </c>
      <c r="E10">
        <f t="shared" si="0"/>
        <v>47.4</v>
      </c>
      <c r="F10">
        <f t="shared" si="1"/>
        <v>41.4</v>
      </c>
      <c r="G10">
        <f t="shared" si="2"/>
        <v>-6</v>
      </c>
      <c r="H10" s="1">
        <v>38253</v>
      </c>
    </row>
    <row r="11" spans="1:8" ht="12.75">
      <c r="A11" s="1">
        <v>38269</v>
      </c>
      <c r="B11" t="s">
        <v>59</v>
      </c>
      <c r="C11">
        <v>42</v>
      </c>
      <c r="D11">
        <v>50</v>
      </c>
      <c r="E11">
        <f t="shared" si="0"/>
        <v>46.8</v>
      </c>
      <c r="F11">
        <f t="shared" si="1"/>
        <v>44</v>
      </c>
      <c r="G11">
        <f t="shared" si="2"/>
        <v>-2.799999999999997</v>
      </c>
      <c r="H11" s="1">
        <v>38267</v>
      </c>
    </row>
    <row r="12" spans="1:11" ht="12.75">
      <c r="A12" s="1">
        <v>38275</v>
      </c>
      <c r="B12" t="s">
        <v>289</v>
      </c>
      <c r="C12">
        <v>49</v>
      </c>
      <c r="D12">
        <v>47</v>
      </c>
      <c r="E12">
        <f t="shared" si="0"/>
        <v>47.8</v>
      </c>
      <c r="F12">
        <f t="shared" si="1"/>
        <v>45.6</v>
      </c>
      <c r="G12">
        <f t="shared" si="2"/>
        <v>-2.1999999999999957</v>
      </c>
      <c r="H12" s="1">
        <v>38272</v>
      </c>
      <c r="I12">
        <f>AVERAGE(C11:C12)</f>
        <v>45.5</v>
      </c>
      <c r="J12">
        <f>AVERAGE(D11:D12)</f>
        <v>48.5</v>
      </c>
      <c r="K12">
        <f>J12-I12</f>
        <v>3</v>
      </c>
    </row>
    <row r="13" spans="1:8" ht="12.75">
      <c r="A13" s="1">
        <v>38282</v>
      </c>
      <c r="B13" t="s">
        <v>295</v>
      </c>
      <c r="C13">
        <v>42</v>
      </c>
      <c r="D13">
        <v>41</v>
      </c>
      <c r="E13">
        <f t="shared" si="0"/>
        <v>46.4</v>
      </c>
      <c r="F13">
        <f t="shared" si="1"/>
        <v>44.8</v>
      </c>
      <c r="G13">
        <f t="shared" si="2"/>
        <v>-1.6000000000000014</v>
      </c>
      <c r="H13" s="1">
        <v>38274</v>
      </c>
    </row>
    <row r="14" spans="1:8" ht="12.75">
      <c r="A14" s="1">
        <v>38278</v>
      </c>
      <c r="B14" t="s">
        <v>93</v>
      </c>
      <c r="C14">
        <v>50</v>
      </c>
      <c r="D14">
        <v>42</v>
      </c>
      <c r="E14">
        <f t="shared" si="0"/>
        <v>46.6</v>
      </c>
      <c r="F14">
        <f t="shared" si="1"/>
        <v>44.4</v>
      </c>
      <c r="G14">
        <f t="shared" si="2"/>
        <v>-2.200000000000003</v>
      </c>
      <c r="H14" s="1">
        <v>38276</v>
      </c>
    </row>
    <row r="15" spans="1:8" ht="12.75">
      <c r="A15" s="1">
        <v>38278</v>
      </c>
      <c r="B15" t="s">
        <v>89</v>
      </c>
      <c r="C15">
        <v>47</v>
      </c>
      <c r="D15">
        <v>41</v>
      </c>
      <c r="E15">
        <f t="shared" si="0"/>
        <v>46</v>
      </c>
      <c r="F15">
        <f t="shared" si="1"/>
        <v>44.2</v>
      </c>
      <c r="G15">
        <f t="shared" si="2"/>
        <v>-1.7999999999999972</v>
      </c>
      <c r="H15" s="1">
        <v>38276</v>
      </c>
    </row>
    <row r="16" spans="1:8" ht="12.75">
      <c r="A16" s="1">
        <v>38281</v>
      </c>
      <c r="B16" t="s">
        <v>169</v>
      </c>
      <c r="C16">
        <v>52</v>
      </c>
      <c r="D16">
        <v>43</v>
      </c>
      <c r="E16">
        <f t="shared" si="0"/>
        <v>48</v>
      </c>
      <c r="F16">
        <f t="shared" si="1"/>
        <v>42.8</v>
      </c>
      <c r="G16">
        <f t="shared" si="2"/>
        <v>-5.200000000000003</v>
      </c>
      <c r="H16" s="1">
        <v>38279</v>
      </c>
    </row>
    <row r="17" spans="1:8" ht="12.75">
      <c r="A17" s="1">
        <v>38282</v>
      </c>
      <c r="B17" t="s">
        <v>109</v>
      </c>
      <c r="C17">
        <v>53</v>
      </c>
      <c r="D17">
        <v>44</v>
      </c>
      <c r="E17">
        <f t="shared" si="0"/>
        <v>48.8</v>
      </c>
      <c r="F17">
        <f t="shared" si="1"/>
        <v>42.2</v>
      </c>
      <c r="G17">
        <f t="shared" si="2"/>
        <v>-6.599999999999994</v>
      </c>
      <c r="H17" s="1">
        <v>38280</v>
      </c>
    </row>
    <row r="18" spans="1:8" ht="12.75">
      <c r="A18" s="1">
        <v>38283</v>
      </c>
      <c r="B18" t="s">
        <v>145</v>
      </c>
      <c r="C18">
        <v>49</v>
      </c>
      <c r="D18">
        <v>44</v>
      </c>
      <c r="E18">
        <f t="shared" si="0"/>
        <v>50.2</v>
      </c>
      <c r="F18">
        <f t="shared" si="1"/>
        <v>42.8</v>
      </c>
      <c r="G18">
        <f t="shared" si="2"/>
        <v>-7.400000000000006</v>
      </c>
      <c r="H18" s="1">
        <v>38280</v>
      </c>
    </row>
    <row r="19" spans="1:8" ht="12.75">
      <c r="A19" s="1">
        <v>38286</v>
      </c>
      <c r="B19" t="s">
        <v>193</v>
      </c>
      <c r="C19">
        <v>49</v>
      </c>
      <c r="D19">
        <v>43</v>
      </c>
      <c r="E19">
        <f t="shared" si="0"/>
        <v>50</v>
      </c>
      <c r="F19">
        <f t="shared" si="1"/>
        <v>43</v>
      </c>
      <c r="G19">
        <f t="shared" si="2"/>
        <v>-7</v>
      </c>
      <c r="H19" s="1">
        <v>38283</v>
      </c>
    </row>
    <row r="20" spans="1:8" ht="12.75">
      <c r="A20" s="1">
        <v>38287</v>
      </c>
      <c r="B20" t="s">
        <v>0</v>
      </c>
      <c r="C20">
        <v>50</v>
      </c>
      <c r="D20">
        <v>40</v>
      </c>
      <c r="E20">
        <f t="shared" si="0"/>
        <v>50.6</v>
      </c>
      <c r="F20">
        <f t="shared" si="1"/>
        <v>42.8</v>
      </c>
      <c r="G20">
        <f t="shared" si="2"/>
        <v>-7.800000000000004</v>
      </c>
      <c r="H20" s="1">
        <v>38285</v>
      </c>
    </row>
    <row r="21" spans="1:8" ht="12.75">
      <c r="A21" s="1">
        <v>38290</v>
      </c>
      <c r="B21" t="s">
        <v>93</v>
      </c>
      <c r="C21">
        <v>55</v>
      </c>
      <c r="D21">
        <v>42</v>
      </c>
      <c r="E21">
        <f t="shared" si="0"/>
        <v>51.2</v>
      </c>
      <c r="F21">
        <f t="shared" si="1"/>
        <v>42.6</v>
      </c>
      <c r="G21">
        <f t="shared" si="2"/>
        <v>-8.600000000000001</v>
      </c>
      <c r="H21" s="1">
        <v>38289</v>
      </c>
    </row>
    <row r="22" ht="12.75">
      <c r="A22" s="1"/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3:J53"/>
  <sheetViews>
    <sheetView zoomScalePageLayoutView="0" workbookViewId="0" topLeftCell="A1">
      <pane ySplit="2340" topLeftCell="BM31" activePane="bottomLeft" state="split"/>
      <selection pane="topLeft" activeCell="H53" sqref="H53"/>
      <selection pane="bottomLeft" activeCell="C52" sqref="C52"/>
    </sheetView>
  </sheetViews>
  <sheetFormatPr defaultColWidth="11.00390625" defaultRowHeight="12.75"/>
  <sheetData>
    <row r="3" spans="3:7" ht="12.75">
      <c r="C3" s="3" t="s">
        <v>135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37943</v>
      </c>
      <c r="B5" t="s">
        <v>126</v>
      </c>
      <c r="C5">
        <v>47</v>
      </c>
      <c r="D5">
        <v>43</v>
      </c>
      <c r="E5">
        <f>AVERAGE(C1:C5)</f>
        <v>47</v>
      </c>
      <c r="F5">
        <f>AVERAGE(D1:D5)</f>
        <v>43</v>
      </c>
      <c r="G5">
        <f>F5-E5</f>
        <v>-4</v>
      </c>
      <c r="H5" s="1">
        <v>37943</v>
      </c>
    </row>
    <row r="6" spans="1:8" ht="12.75">
      <c r="A6" s="1">
        <v>37972</v>
      </c>
      <c r="B6" t="s">
        <v>126</v>
      </c>
      <c r="C6">
        <v>44</v>
      </c>
      <c r="D6">
        <v>46</v>
      </c>
      <c r="E6">
        <f>AVERAGE(C2:C6)</f>
        <v>45.5</v>
      </c>
      <c r="F6">
        <f>AVERAGE(D2:D6)</f>
        <v>44.5</v>
      </c>
      <c r="G6">
        <f>F6-E6</f>
        <v>-1</v>
      </c>
      <c r="H6" s="1">
        <v>37972</v>
      </c>
    </row>
    <row r="7" spans="1:10" ht="12.75">
      <c r="A7" s="1">
        <v>38071</v>
      </c>
      <c r="B7" t="s">
        <v>103</v>
      </c>
      <c r="C7">
        <v>44</v>
      </c>
      <c r="D7">
        <v>45</v>
      </c>
      <c r="E7">
        <f>AVERAGE(C3:C7)</f>
        <v>45</v>
      </c>
      <c r="F7">
        <f>AVERAGE(D3:D7)</f>
        <v>44.666666666666664</v>
      </c>
      <c r="G7">
        <f>F7-E7</f>
        <v>-0.3333333333333357</v>
      </c>
      <c r="H7" s="1">
        <v>38026</v>
      </c>
      <c r="I7" t="s">
        <v>74</v>
      </c>
      <c r="J7" t="s">
        <v>74</v>
      </c>
    </row>
    <row r="8" spans="1:10" ht="12.75">
      <c r="A8" s="1">
        <v>38037</v>
      </c>
      <c r="B8" t="s">
        <v>126</v>
      </c>
      <c r="C8">
        <v>42</v>
      </c>
      <c r="D8">
        <v>52</v>
      </c>
      <c r="E8">
        <f>AVERAGE(C4:C8)</f>
        <v>44.25</v>
      </c>
      <c r="F8">
        <f>AVERAGE(D4:D8)</f>
        <v>46.5</v>
      </c>
      <c r="G8">
        <f>F8-E8</f>
        <v>2.25</v>
      </c>
      <c r="H8" s="1">
        <v>38037</v>
      </c>
      <c r="I8" t="s">
        <v>74</v>
      </c>
      <c r="J8" t="s">
        <v>74</v>
      </c>
    </row>
    <row r="9" spans="1:9" ht="12.75">
      <c r="A9" s="1">
        <v>38071</v>
      </c>
      <c r="B9" t="s">
        <v>169</v>
      </c>
      <c r="C9">
        <v>43</v>
      </c>
      <c r="D9">
        <v>44</v>
      </c>
      <c r="E9">
        <f>AVERAGE(C5:C9)</f>
        <v>44</v>
      </c>
      <c r="F9">
        <f>AVERAGE(D5:D9)</f>
        <v>46</v>
      </c>
      <c r="G9">
        <f>F9-E9</f>
        <v>2</v>
      </c>
      <c r="H9" s="1">
        <v>38037</v>
      </c>
      <c r="I9" t="s">
        <v>74</v>
      </c>
    </row>
    <row r="10" spans="1:10" ht="12.75">
      <c r="A10" s="1">
        <v>38051</v>
      </c>
      <c r="B10" t="s">
        <v>126</v>
      </c>
      <c r="C10">
        <v>40</v>
      </c>
      <c r="D10">
        <v>51</v>
      </c>
      <c r="E10">
        <f>AVERAGE(C6:C10)</f>
        <v>42.6</v>
      </c>
      <c r="F10">
        <f>AVERAGE(D6:D10)</f>
        <v>47.6</v>
      </c>
      <c r="G10">
        <f>F10-E10</f>
        <v>5</v>
      </c>
      <c r="H10" s="1">
        <v>38044</v>
      </c>
      <c r="I10" t="s">
        <v>74</v>
      </c>
      <c r="J10" t="s">
        <v>74</v>
      </c>
    </row>
    <row r="11" spans="1:10" ht="12.75">
      <c r="A11" s="1">
        <v>38071</v>
      </c>
      <c r="B11" t="s">
        <v>126</v>
      </c>
      <c r="C11">
        <v>44</v>
      </c>
      <c r="D11">
        <v>48</v>
      </c>
      <c r="E11">
        <f>AVERAGE(C7:C11)</f>
        <v>42.6</v>
      </c>
      <c r="F11">
        <f>AVERAGE(D7:D11)</f>
        <v>48</v>
      </c>
      <c r="G11">
        <f>F11-E11</f>
        <v>5.399999999999999</v>
      </c>
      <c r="H11" s="1">
        <v>38061</v>
      </c>
      <c r="I11" t="s">
        <v>74</v>
      </c>
      <c r="J11" t="s">
        <v>74</v>
      </c>
    </row>
    <row r="12" spans="1:10" ht="12.75">
      <c r="A12" s="1">
        <v>38077</v>
      </c>
      <c r="B12" t="s">
        <v>169</v>
      </c>
      <c r="C12">
        <v>48</v>
      </c>
      <c r="D12">
        <v>46</v>
      </c>
      <c r="E12">
        <f>AVERAGE(C8:C12)</f>
        <v>43.4</v>
      </c>
      <c r="F12">
        <f>AVERAGE(D8:D12)</f>
        <v>48.2</v>
      </c>
      <c r="G12">
        <f>F12-E12</f>
        <v>4.800000000000004</v>
      </c>
      <c r="H12" s="1">
        <v>38071</v>
      </c>
      <c r="J12" t="s">
        <v>74</v>
      </c>
    </row>
    <row r="13" spans="1:8" ht="12.75">
      <c r="A13" s="1">
        <v>38087</v>
      </c>
      <c r="B13" t="s">
        <v>38</v>
      </c>
      <c r="C13">
        <v>42</v>
      </c>
      <c r="D13">
        <v>46</v>
      </c>
      <c r="E13">
        <f>AVERAGE(C9:C13)</f>
        <v>43.4</v>
      </c>
      <c r="F13">
        <f>AVERAGE(D9:D13)</f>
        <v>47</v>
      </c>
      <c r="G13">
        <f>F13-E13</f>
        <v>3.6000000000000014</v>
      </c>
      <c r="H13" s="1">
        <v>38081</v>
      </c>
    </row>
    <row r="14" spans="1:8" ht="12.75">
      <c r="A14" s="1">
        <v>38094</v>
      </c>
      <c r="B14" t="s">
        <v>126</v>
      </c>
      <c r="C14">
        <v>44</v>
      </c>
      <c r="D14">
        <v>49</v>
      </c>
      <c r="E14">
        <f>AVERAGE(C10:C14)</f>
        <v>43.6</v>
      </c>
      <c r="F14">
        <f>AVERAGE(D10:D14)</f>
        <v>48</v>
      </c>
      <c r="G14">
        <f>F14-E14</f>
        <v>4.399999999999999</v>
      </c>
      <c r="H14" s="1">
        <v>38089</v>
      </c>
    </row>
    <row r="15" spans="1:8" ht="12.75">
      <c r="A15" s="1">
        <v>38105</v>
      </c>
      <c r="B15" t="s">
        <v>26</v>
      </c>
      <c r="C15">
        <v>43</v>
      </c>
      <c r="D15">
        <v>47</v>
      </c>
      <c r="E15">
        <f>AVERAGE(C11:C15)</f>
        <v>44.2</v>
      </c>
      <c r="F15">
        <f>AVERAGE(D11:D15)</f>
        <v>47.2</v>
      </c>
      <c r="G15">
        <f>F15-E15</f>
        <v>3</v>
      </c>
      <c r="H15" s="1">
        <v>38100</v>
      </c>
    </row>
    <row r="16" spans="1:8" ht="12.75">
      <c r="A16" s="1">
        <v>38114</v>
      </c>
      <c r="B16" t="s">
        <v>169</v>
      </c>
      <c r="C16">
        <v>47</v>
      </c>
      <c r="D16">
        <v>43</v>
      </c>
      <c r="E16">
        <f>AVERAGE(C12:C16)</f>
        <v>44.8</v>
      </c>
      <c r="F16">
        <f>AVERAGE(D12:D16)</f>
        <v>46.2</v>
      </c>
      <c r="G16">
        <f>F16-E16</f>
        <v>1.4000000000000057</v>
      </c>
      <c r="H16" s="1">
        <v>38111</v>
      </c>
    </row>
    <row r="17" spans="1:8" ht="12.75">
      <c r="A17" s="1">
        <v>38137</v>
      </c>
      <c r="B17" t="s">
        <v>126</v>
      </c>
      <c r="C17">
        <v>42</v>
      </c>
      <c r="D17">
        <v>48</v>
      </c>
      <c r="E17">
        <f>AVERAGE(C13:C17)</f>
        <v>43.6</v>
      </c>
      <c r="F17">
        <f>AVERAGE(D13:D17)</f>
        <v>46.6</v>
      </c>
      <c r="G17">
        <f>F17-E17</f>
        <v>3</v>
      </c>
      <c r="H17" s="1">
        <v>38124</v>
      </c>
    </row>
    <row r="18" spans="1:8" ht="12.75">
      <c r="A18" s="1">
        <v>38148</v>
      </c>
      <c r="B18" t="s">
        <v>169</v>
      </c>
      <c r="C18">
        <v>43</v>
      </c>
      <c r="D18">
        <v>45</v>
      </c>
      <c r="E18">
        <f>AVERAGE(C14:C18)</f>
        <v>43.8</v>
      </c>
      <c r="F18">
        <f>AVERAGE(D14:D18)</f>
        <v>46.4</v>
      </c>
      <c r="G18">
        <f>F18-E18</f>
        <v>2.6000000000000014</v>
      </c>
      <c r="H18" s="1">
        <v>38142</v>
      </c>
    </row>
    <row r="19" spans="1:8" ht="12.75">
      <c r="A19" s="1">
        <v>38150</v>
      </c>
      <c r="B19" t="s">
        <v>26</v>
      </c>
      <c r="C19">
        <v>37</v>
      </c>
      <c r="D19">
        <v>50</v>
      </c>
      <c r="E19">
        <f>AVERAGE(C15:C19)</f>
        <v>42.4</v>
      </c>
      <c r="F19">
        <f>AVERAGE(D15:D19)</f>
        <v>46.6</v>
      </c>
      <c r="G19">
        <f>F19-E19</f>
        <v>4.200000000000003</v>
      </c>
      <c r="H19" s="1">
        <v>38147</v>
      </c>
    </row>
    <row r="20" spans="1:8" ht="12.75">
      <c r="A20" s="1">
        <v>38156</v>
      </c>
      <c r="B20" t="s">
        <v>126</v>
      </c>
      <c r="C20">
        <v>43</v>
      </c>
      <c r="D20">
        <v>52</v>
      </c>
      <c r="E20">
        <f>AVERAGE(C16:C20)</f>
        <v>42.4</v>
      </c>
      <c r="F20">
        <f>AVERAGE(D16:D20)</f>
        <v>47.6</v>
      </c>
      <c r="G20">
        <f>F20-E20</f>
        <v>5.200000000000003</v>
      </c>
      <c r="H20" s="1">
        <v>38153</v>
      </c>
    </row>
    <row r="21" spans="1:8" ht="12.75">
      <c r="A21" s="1">
        <v>38164</v>
      </c>
      <c r="B21" t="s">
        <v>280</v>
      </c>
      <c r="C21">
        <v>39</v>
      </c>
      <c r="D21">
        <v>52</v>
      </c>
      <c r="E21">
        <f>AVERAGE(C17:C21)</f>
        <v>40.8</v>
      </c>
      <c r="F21">
        <f>AVERAGE(D17:D21)</f>
        <v>49.4</v>
      </c>
      <c r="G21">
        <f>F21-E21</f>
        <v>8.600000000000001</v>
      </c>
      <c r="H21" s="1">
        <v>38163</v>
      </c>
    </row>
    <row r="22" spans="1:8" ht="12.75">
      <c r="A22" s="1">
        <v>38176</v>
      </c>
      <c r="B22" t="s">
        <v>239</v>
      </c>
      <c r="C22">
        <v>38</v>
      </c>
      <c r="D22">
        <v>48</v>
      </c>
      <c r="E22">
        <f>AVERAGE(C18:C22)</f>
        <v>40</v>
      </c>
      <c r="F22">
        <f>AVERAGE(D18:D22)</f>
        <v>49.4</v>
      </c>
      <c r="G22">
        <f>F22-E22</f>
        <v>9.399999999999999</v>
      </c>
      <c r="H22" s="1">
        <v>38167</v>
      </c>
    </row>
    <row r="23" spans="1:8" ht="12.75">
      <c r="A23" s="1">
        <v>38178</v>
      </c>
      <c r="B23" t="s">
        <v>169</v>
      </c>
      <c r="C23">
        <v>39</v>
      </c>
      <c r="D23">
        <v>50</v>
      </c>
      <c r="E23">
        <f>AVERAGE(C19:C23)</f>
        <v>39.2</v>
      </c>
      <c r="F23">
        <f>AVERAGE(D19:D23)</f>
        <v>50.4</v>
      </c>
      <c r="G23">
        <f>F23-E23</f>
        <v>11.199999999999996</v>
      </c>
      <c r="H23" s="1">
        <v>38178</v>
      </c>
    </row>
    <row r="24" spans="1:8" ht="12.75">
      <c r="A24" s="1">
        <v>38192</v>
      </c>
      <c r="B24" t="s">
        <v>280</v>
      </c>
      <c r="C24">
        <v>39</v>
      </c>
      <c r="D24">
        <v>50</v>
      </c>
      <c r="E24">
        <f>AVERAGE(C20:C24)</f>
        <v>39.6</v>
      </c>
      <c r="F24">
        <f>AVERAGE(D20:D24)</f>
        <v>50.4</v>
      </c>
      <c r="G24">
        <f>F24-E24</f>
        <v>10.799999999999997</v>
      </c>
      <c r="H24" s="1">
        <v>38189</v>
      </c>
    </row>
    <row r="25" spans="1:8" ht="12.75">
      <c r="A25" s="1">
        <v>38206</v>
      </c>
      <c r="B25" t="s">
        <v>227</v>
      </c>
      <c r="C25">
        <v>38</v>
      </c>
      <c r="D25">
        <v>44</v>
      </c>
      <c r="E25">
        <f>AVERAGE(C21:C25)</f>
        <v>38.6</v>
      </c>
      <c r="F25">
        <f>AVERAGE(D21:D25)</f>
        <v>48.8</v>
      </c>
      <c r="G25">
        <f>F25-E25</f>
        <v>10.199999999999996</v>
      </c>
      <c r="H25" s="1">
        <v>38202</v>
      </c>
    </row>
    <row r="26" spans="1:8" ht="12.75">
      <c r="A26" s="1">
        <v>38206</v>
      </c>
      <c r="B26" t="s">
        <v>169</v>
      </c>
      <c r="C26">
        <v>44</v>
      </c>
      <c r="D26">
        <v>51</v>
      </c>
      <c r="E26">
        <f>AVERAGE(C22:C26)</f>
        <v>39.6</v>
      </c>
      <c r="F26">
        <f>AVERAGE(D22:D26)</f>
        <v>48.6</v>
      </c>
      <c r="G26">
        <f>F26-E26</f>
        <v>9</v>
      </c>
      <c r="H26" s="1">
        <v>38203</v>
      </c>
    </row>
    <row r="27" spans="1:8" ht="12.75">
      <c r="A27" s="1">
        <v>38212</v>
      </c>
      <c r="B27" t="s">
        <v>103</v>
      </c>
      <c r="C27">
        <v>42</v>
      </c>
      <c r="D27">
        <v>47</v>
      </c>
      <c r="E27">
        <f>AVERAGE(C23:C27)</f>
        <v>40.4</v>
      </c>
      <c r="F27">
        <f>AVERAGE(D23:D27)</f>
        <v>48.4</v>
      </c>
      <c r="G27">
        <f>F27-E27</f>
        <v>8</v>
      </c>
      <c r="H27" s="1">
        <v>38208</v>
      </c>
    </row>
    <row r="28" spans="1:8" ht="12.75">
      <c r="A28" s="1">
        <v>38239</v>
      </c>
      <c r="B28" t="s">
        <v>103</v>
      </c>
      <c r="C28">
        <v>43</v>
      </c>
      <c r="D28">
        <v>46</v>
      </c>
      <c r="E28">
        <f>AVERAGE(C24:C28)</f>
        <v>41.2</v>
      </c>
      <c r="F28">
        <f>AVERAGE(D24:D28)</f>
        <v>47.6</v>
      </c>
      <c r="G28">
        <f>F28-E28</f>
        <v>6.399999999999999</v>
      </c>
      <c r="H28" s="1">
        <v>38236</v>
      </c>
    </row>
    <row r="29" spans="1:8" ht="12.75">
      <c r="A29" s="1">
        <v>38247</v>
      </c>
      <c r="B29" t="s">
        <v>169</v>
      </c>
      <c r="C29">
        <v>46</v>
      </c>
      <c r="D29">
        <v>48</v>
      </c>
      <c r="E29">
        <f>AVERAGE(C25:C29)</f>
        <v>42.6</v>
      </c>
      <c r="F29">
        <f>AVERAGE(D25:D29)</f>
        <v>47.2</v>
      </c>
      <c r="G29">
        <f>F29-E29</f>
        <v>4.600000000000001</v>
      </c>
      <c r="H29" s="1">
        <v>38242</v>
      </c>
    </row>
    <row r="30" spans="1:8" ht="12.75">
      <c r="A30" s="1">
        <v>38247</v>
      </c>
      <c r="B30" t="s">
        <v>109</v>
      </c>
      <c r="C30">
        <v>45</v>
      </c>
      <c r="D30">
        <v>49</v>
      </c>
      <c r="E30">
        <f>AVERAGE(C26:C30)</f>
        <v>44</v>
      </c>
      <c r="F30">
        <f>AVERAGE(D26:D30)</f>
        <v>48.2</v>
      </c>
      <c r="G30">
        <f>F30-E30</f>
        <v>4.200000000000003</v>
      </c>
      <c r="H30" s="1">
        <v>38245</v>
      </c>
    </row>
    <row r="31" spans="1:8" ht="12.75">
      <c r="A31" s="1">
        <v>38248</v>
      </c>
      <c r="B31" t="s">
        <v>26</v>
      </c>
      <c r="C31">
        <v>44</v>
      </c>
      <c r="D31">
        <v>45</v>
      </c>
      <c r="E31">
        <f>AVERAGE(C27:C31)</f>
        <v>44</v>
      </c>
      <c r="F31">
        <f>AVERAGE(D27:D31)</f>
        <v>47</v>
      </c>
      <c r="G31">
        <f>F31-E31</f>
        <v>3</v>
      </c>
      <c r="H31" s="1">
        <v>38246</v>
      </c>
    </row>
    <row r="32" spans="1:8" ht="12.75">
      <c r="A32" s="1">
        <v>38252</v>
      </c>
      <c r="B32" t="s">
        <v>59</v>
      </c>
      <c r="C32">
        <v>45</v>
      </c>
      <c r="D32">
        <v>50</v>
      </c>
      <c r="E32">
        <f>AVERAGE(C28:C32)</f>
        <v>44.6</v>
      </c>
      <c r="F32">
        <f>AVERAGE(D28:D32)</f>
        <v>47.6</v>
      </c>
      <c r="G32">
        <f>F32-E32</f>
        <v>3</v>
      </c>
      <c r="H32" s="1">
        <v>38249</v>
      </c>
    </row>
    <row r="33" spans="1:8" ht="12.75">
      <c r="A33" s="1">
        <v>38252</v>
      </c>
      <c r="B33" t="s">
        <v>280</v>
      </c>
      <c r="C33">
        <v>42</v>
      </c>
      <c r="D33">
        <v>49</v>
      </c>
      <c r="E33">
        <f>AVERAGE(C29:C33)</f>
        <v>44.4</v>
      </c>
      <c r="F33">
        <f>AVERAGE(D29:D33)</f>
        <v>48.2</v>
      </c>
      <c r="G33">
        <f>F33-E33</f>
        <v>3.8000000000000043</v>
      </c>
      <c r="H33" s="1">
        <v>38250</v>
      </c>
    </row>
    <row r="34" spans="1:8" ht="12.75">
      <c r="A34" s="1">
        <v>38255</v>
      </c>
      <c r="B34" t="s">
        <v>36</v>
      </c>
      <c r="C34">
        <v>43</v>
      </c>
      <c r="D34">
        <v>49</v>
      </c>
      <c r="E34">
        <f>AVERAGE(C30:C34)</f>
        <v>43.8</v>
      </c>
      <c r="F34">
        <f>AVERAGE(D30:D34)</f>
        <v>48.4</v>
      </c>
      <c r="G34">
        <f>F34-E34</f>
        <v>4.600000000000001</v>
      </c>
      <c r="H34" s="1">
        <v>38252</v>
      </c>
    </row>
    <row r="35" spans="1:8" ht="12.75">
      <c r="A35" s="1">
        <v>38262</v>
      </c>
      <c r="B35" t="s">
        <v>103</v>
      </c>
      <c r="C35">
        <v>40</v>
      </c>
      <c r="D35">
        <v>49</v>
      </c>
      <c r="E35">
        <f>AVERAGE(C31:C35)</f>
        <v>42.8</v>
      </c>
      <c r="F35">
        <f>AVERAGE(D31:D35)</f>
        <v>48.4</v>
      </c>
      <c r="G35">
        <f>F35-E35</f>
        <v>5.600000000000001</v>
      </c>
      <c r="H35" s="1">
        <v>38257</v>
      </c>
    </row>
    <row r="36" spans="1:8" ht="12.75">
      <c r="A36" s="1">
        <v>38266</v>
      </c>
      <c r="B36" t="s">
        <v>109</v>
      </c>
      <c r="C36">
        <v>42</v>
      </c>
      <c r="D36">
        <v>50</v>
      </c>
      <c r="E36">
        <f>AVERAGE(C32:C36)</f>
        <v>42.4</v>
      </c>
      <c r="F36">
        <f>AVERAGE(D32:D36)</f>
        <v>49.4</v>
      </c>
      <c r="G36">
        <f>F36-E36</f>
        <v>7</v>
      </c>
      <c r="H36" s="1">
        <v>38265</v>
      </c>
    </row>
    <row r="37" spans="1:8" ht="12.75">
      <c r="A37" s="1">
        <v>38267</v>
      </c>
      <c r="B37" t="s">
        <v>126</v>
      </c>
      <c r="C37">
        <v>42</v>
      </c>
      <c r="D37">
        <v>52</v>
      </c>
      <c r="E37">
        <f>AVERAGE(C33:C37)</f>
        <v>41.8</v>
      </c>
      <c r="F37">
        <f>AVERAGE(D33:D37)</f>
        <v>49.8</v>
      </c>
      <c r="G37">
        <f>F37-E37</f>
        <v>8</v>
      </c>
      <c r="H37" s="1">
        <v>38265</v>
      </c>
    </row>
    <row r="38" spans="1:8" ht="12.75">
      <c r="A38" s="1">
        <v>38268</v>
      </c>
      <c r="B38" t="s">
        <v>169</v>
      </c>
      <c r="C38">
        <v>44</v>
      </c>
      <c r="D38">
        <v>54</v>
      </c>
      <c r="E38">
        <f>AVERAGE(C34:C38)</f>
        <v>42.2</v>
      </c>
      <c r="F38">
        <f>AVERAGE(D34:D38)</f>
        <v>50.8</v>
      </c>
      <c r="G38">
        <f>F38-E38</f>
        <v>8.599999999999994</v>
      </c>
      <c r="H38" s="1">
        <v>38265</v>
      </c>
    </row>
    <row r="39" spans="1:8" ht="12.75">
      <c r="A39" s="1">
        <v>38269</v>
      </c>
      <c r="B39" t="s">
        <v>36</v>
      </c>
      <c r="C39">
        <v>41</v>
      </c>
      <c r="D39">
        <v>51</v>
      </c>
      <c r="E39">
        <f>AVERAGE(C35:C39)</f>
        <v>41.8</v>
      </c>
      <c r="F39">
        <f>AVERAGE(D35:D39)</f>
        <v>51.2</v>
      </c>
      <c r="G39">
        <f>F39-E39</f>
        <v>9.400000000000006</v>
      </c>
      <c r="H39" s="1">
        <v>38265</v>
      </c>
    </row>
    <row r="40" spans="1:8" ht="12.75">
      <c r="A40" s="1">
        <v>38273</v>
      </c>
      <c r="B40" t="s">
        <v>280</v>
      </c>
      <c r="C40">
        <v>43</v>
      </c>
      <c r="D40">
        <v>51</v>
      </c>
      <c r="E40">
        <f>AVERAGE(C36:C40)</f>
        <v>42.4</v>
      </c>
      <c r="F40">
        <f>AVERAGE(D36:D40)</f>
        <v>51.6</v>
      </c>
      <c r="G40">
        <f>F40-E40</f>
        <v>9.200000000000003</v>
      </c>
      <c r="H40" s="1">
        <v>38266</v>
      </c>
    </row>
    <row r="41" spans="1:8" ht="12.75">
      <c r="A41" s="1">
        <v>38273</v>
      </c>
      <c r="B41" t="s">
        <v>280</v>
      </c>
      <c r="C41">
        <v>37</v>
      </c>
      <c r="D41">
        <v>54</v>
      </c>
      <c r="E41">
        <f>AVERAGE(C37:C41)</f>
        <v>41.4</v>
      </c>
      <c r="F41">
        <f>AVERAGE(D37:D41)</f>
        <v>52.4</v>
      </c>
      <c r="G41">
        <f>F41-E41</f>
        <v>11</v>
      </c>
      <c r="H41" s="1">
        <v>38271</v>
      </c>
    </row>
    <row r="42" spans="1:8" ht="12.75">
      <c r="A42" s="1">
        <v>38278</v>
      </c>
      <c r="B42" t="s">
        <v>127</v>
      </c>
      <c r="C42">
        <v>36</v>
      </c>
      <c r="D42">
        <v>51</v>
      </c>
      <c r="E42">
        <f>AVERAGE(C38:C42)</f>
        <v>40.2</v>
      </c>
      <c r="F42">
        <f>AVERAGE(D38:D42)</f>
        <v>52.2</v>
      </c>
      <c r="G42">
        <f>F42-E42</f>
        <v>12</v>
      </c>
      <c r="H42" s="1">
        <v>38274</v>
      </c>
    </row>
    <row r="43" spans="1:8" ht="12.75">
      <c r="A43" s="1">
        <v>38278</v>
      </c>
      <c r="B43" t="s">
        <v>89</v>
      </c>
      <c r="C43">
        <v>39</v>
      </c>
      <c r="D43">
        <v>51</v>
      </c>
      <c r="E43">
        <f>AVERAGE(C39:C43)</f>
        <v>39.2</v>
      </c>
      <c r="F43">
        <f>AVERAGE(D39:D43)</f>
        <v>51.6</v>
      </c>
      <c r="G43">
        <f>F43-E43</f>
        <v>12.399999999999999</v>
      </c>
      <c r="H43" s="1">
        <v>38276</v>
      </c>
    </row>
    <row r="44" spans="1:8" ht="12.75">
      <c r="A44" s="1">
        <v>38282</v>
      </c>
      <c r="B44" t="s">
        <v>294</v>
      </c>
      <c r="C44">
        <v>38</v>
      </c>
      <c r="D44">
        <v>51</v>
      </c>
      <c r="E44">
        <f>AVERAGE(C40:C44)</f>
        <v>38.6</v>
      </c>
      <c r="F44">
        <f>AVERAGE(D40:D44)</f>
        <v>51.6</v>
      </c>
      <c r="G44">
        <f>F44-E44</f>
        <v>13</v>
      </c>
      <c r="H44" s="1">
        <v>38276</v>
      </c>
    </row>
    <row r="45" spans="1:8" ht="12.75">
      <c r="A45" s="1">
        <v>38280</v>
      </c>
      <c r="B45" t="s">
        <v>126</v>
      </c>
      <c r="C45">
        <v>43</v>
      </c>
      <c r="D45">
        <v>51</v>
      </c>
      <c r="E45">
        <f>AVERAGE(C41:C45)</f>
        <v>38.6</v>
      </c>
      <c r="F45">
        <f>AVERAGE(D41:D45)</f>
        <v>51.6</v>
      </c>
      <c r="G45">
        <f>F45-E45</f>
        <v>13</v>
      </c>
      <c r="H45" s="1">
        <v>38278</v>
      </c>
    </row>
    <row r="46" spans="1:8" ht="12.75">
      <c r="A46" s="1">
        <v>38283</v>
      </c>
      <c r="B46" t="s">
        <v>52</v>
      </c>
      <c r="C46">
        <v>40</v>
      </c>
      <c r="D46">
        <v>53</v>
      </c>
      <c r="E46">
        <f>AVERAGE(C42:C46)</f>
        <v>39.2</v>
      </c>
      <c r="F46">
        <f>AVERAGE(D42:D46)</f>
        <v>51.4</v>
      </c>
      <c r="G46">
        <f>F46-E46</f>
        <v>12.199999999999996</v>
      </c>
      <c r="H46" s="1">
        <v>38279</v>
      </c>
    </row>
    <row r="47" spans="1:8" ht="12.75">
      <c r="A47" s="1">
        <v>38282</v>
      </c>
      <c r="B47" t="s">
        <v>36</v>
      </c>
      <c r="C47">
        <v>41</v>
      </c>
      <c r="D47">
        <v>52</v>
      </c>
      <c r="E47">
        <f>AVERAGE(C43:C47)</f>
        <v>40.2</v>
      </c>
      <c r="F47">
        <f>AVERAGE(D43:D47)</f>
        <v>51.6</v>
      </c>
      <c r="G47">
        <f>F47-E47</f>
        <v>11.399999999999999</v>
      </c>
      <c r="H47" s="1">
        <v>38280</v>
      </c>
    </row>
    <row r="48" spans="1:8" ht="12.75">
      <c r="A48" s="1">
        <v>38282</v>
      </c>
      <c r="B48" t="s">
        <v>296</v>
      </c>
      <c r="C48">
        <v>42</v>
      </c>
      <c r="D48">
        <v>53</v>
      </c>
      <c r="E48">
        <f>AVERAGE(C44:C48)</f>
        <v>40.8</v>
      </c>
      <c r="F48">
        <f>AVERAGE(D44:D48)</f>
        <v>52</v>
      </c>
      <c r="G48">
        <f>F48-E48</f>
        <v>11.200000000000003</v>
      </c>
      <c r="H48" s="1">
        <v>38281</v>
      </c>
    </row>
    <row r="49" spans="1:8" ht="12.75">
      <c r="A49" s="1">
        <v>38285</v>
      </c>
      <c r="B49" t="s">
        <v>169</v>
      </c>
      <c r="C49">
        <v>44</v>
      </c>
      <c r="D49">
        <v>51</v>
      </c>
      <c r="E49">
        <f>AVERAGE(C45:C49)</f>
        <v>42</v>
      </c>
      <c r="F49">
        <f>AVERAGE(D45:D49)</f>
        <v>52</v>
      </c>
      <c r="G49">
        <f>F49-E49</f>
        <v>10</v>
      </c>
      <c r="H49" s="1">
        <v>38282</v>
      </c>
    </row>
    <row r="50" spans="1:8" ht="12.75">
      <c r="A50" s="1">
        <v>38288</v>
      </c>
      <c r="B50" t="s">
        <v>103</v>
      </c>
      <c r="C50">
        <v>41</v>
      </c>
      <c r="D50">
        <v>50</v>
      </c>
      <c r="E50">
        <f>AVERAGE(C46:C50)</f>
        <v>41.6</v>
      </c>
      <c r="F50">
        <f>AVERAGE(D46:D50)</f>
        <v>51.8</v>
      </c>
      <c r="G50">
        <f>F50-E50</f>
        <v>10.199999999999996</v>
      </c>
      <c r="H50" s="1">
        <v>38285</v>
      </c>
    </row>
    <row r="51" spans="1:8" ht="12.75">
      <c r="A51" s="1">
        <v>38289</v>
      </c>
      <c r="B51" t="s">
        <v>36</v>
      </c>
      <c r="C51">
        <v>42</v>
      </c>
      <c r="D51">
        <v>53</v>
      </c>
      <c r="E51">
        <f>AVERAGE(C47:C51)</f>
        <v>42</v>
      </c>
      <c r="F51">
        <f>AVERAGE(D47:D51)</f>
        <v>51.8</v>
      </c>
      <c r="G51">
        <f>F51-E51</f>
        <v>9.799999999999997</v>
      </c>
      <c r="H51" s="1">
        <v>38287</v>
      </c>
    </row>
    <row r="52" spans="1:8" ht="12.75">
      <c r="A52" s="1">
        <v>38291</v>
      </c>
      <c r="B52" t="s">
        <v>9</v>
      </c>
      <c r="C52">
        <v>42</v>
      </c>
      <c r="D52">
        <v>52</v>
      </c>
      <c r="E52">
        <f>AVERAGE(C48:C52)</f>
        <v>42.2</v>
      </c>
      <c r="F52">
        <f>AVERAGE(D48:D52)</f>
        <v>51.8</v>
      </c>
      <c r="G52">
        <f>F52-E52</f>
        <v>9.599999999999994</v>
      </c>
      <c r="H52" s="1">
        <v>38287</v>
      </c>
    </row>
    <row r="53" spans="1:8" ht="12.75">
      <c r="A53" s="1">
        <v>38290</v>
      </c>
      <c r="B53" t="s">
        <v>126</v>
      </c>
      <c r="C53">
        <v>39</v>
      </c>
      <c r="D53">
        <v>55</v>
      </c>
      <c r="E53">
        <f>AVERAGE(C49:C53)</f>
        <v>41.6</v>
      </c>
      <c r="F53">
        <f>AVERAGE(D49:D53)</f>
        <v>52.2</v>
      </c>
      <c r="G53">
        <f>F53-E53</f>
        <v>10.600000000000001</v>
      </c>
      <c r="H53" s="1">
        <v>38288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selection activeCell="C15" sqref="C15"/>
    </sheetView>
  </sheetViews>
  <sheetFormatPr defaultColWidth="11.00390625" defaultRowHeight="12.75"/>
  <sheetData>
    <row r="3" spans="3:7" ht="12.75">
      <c r="C3" s="3" t="s">
        <v>90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54</v>
      </c>
      <c r="D5">
        <v>35</v>
      </c>
      <c r="E5">
        <f aca="true" t="shared" si="0" ref="E5:E15">AVERAGE(C1:C5)</f>
        <v>54</v>
      </c>
      <c r="F5">
        <f aca="true" t="shared" si="1" ref="F5:F15">AVERAGE(D1:D5)</f>
        <v>35</v>
      </c>
      <c r="G5">
        <f aca="true" t="shared" si="2" ref="G5:G15">F5-E5</f>
        <v>-19</v>
      </c>
      <c r="H5" s="1">
        <v>38044</v>
      </c>
    </row>
    <row r="6" spans="1:8" ht="12.75">
      <c r="A6" s="1">
        <v>38139</v>
      </c>
      <c r="B6" t="s">
        <v>81</v>
      </c>
      <c r="C6">
        <v>53</v>
      </c>
      <c r="D6">
        <v>40</v>
      </c>
      <c r="E6">
        <f t="shared" si="0"/>
        <v>53.5</v>
      </c>
      <c r="F6">
        <f t="shared" si="1"/>
        <v>37.5</v>
      </c>
      <c r="G6">
        <f t="shared" si="2"/>
        <v>-16</v>
      </c>
      <c r="H6" s="1">
        <v>38120</v>
      </c>
    </row>
    <row r="7" spans="1:8" ht="12.75">
      <c r="A7" s="1">
        <v>38223</v>
      </c>
      <c r="B7" t="s">
        <v>301</v>
      </c>
      <c r="C7">
        <v>62</v>
      </c>
      <c r="D7">
        <v>25</v>
      </c>
      <c r="E7">
        <f t="shared" si="0"/>
        <v>56.333333333333336</v>
      </c>
      <c r="F7">
        <f t="shared" si="1"/>
        <v>33.333333333333336</v>
      </c>
      <c r="G7">
        <f t="shared" si="2"/>
        <v>-23</v>
      </c>
      <c r="H7" s="1">
        <v>38213</v>
      </c>
    </row>
    <row r="8" spans="1:8" ht="12.75">
      <c r="A8" s="1">
        <v>38241</v>
      </c>
      <c r="B8" t="s">
        <v>169</v>
      </c>
      <c r="C8">
        <v>58</v>
      </c>
      <c r="D8">
        <v>39</v>
      </c>
      <c r="E8">
        <f t="shared" si="0"/>
        <v>56.75</v>
      </c>
      <c r="F8">
        <f t="shared" si="1"/>
        <v>34.75</v>
      </c>
      <c r="G8">
        <f t="shared" si="2"/>
        <v>-22</v>
      </c>
      <c r="H8" s="1">
        <v>38239</v>
      </c>
    </row>
    <row r="9" spans="1:8" ht="12.75">
      <c r="A9" s="1">
        <v>38247</v>
      </c>
      <c r="B9" t="s">
        <v>59</v>
      </c>
      <c r="C9">
        <v>66</v>
      </c>
      <c r="D9">
        <v>28</v>
      </c>
      <c r="E9">
        <f t="shared" si="0"/>
        <v>58.6</v>
      </c>
      <c r="F9">
        <f t="shared" si="1"/>
        <v>33.4</v>
      </c>
      <c r="G9">
        <f t="shared" si="2"/>
        <v>-25.200000000000003</v>
      </c>
      <c r="H9" s="1">
        <v>38242</v>
      </c>
    </row>
    <row r="10" spans="1:8" ht="12.75">
      <c r="A10" s="1">
        <v>38256</v>
      </c>
      <c r="B10" t="s">
        <v>81</v>
      </c>
      <c r="C10">
        <v>57</v>
      </c>
      <c r="D10">
        <v>36</v>
      </c>
      <c r="E10">
        <f t="shared" si="0"/>
        <v>59.2</v>
      </c>
      <c r="F10">
        <f t="shared" si="1"/>
        <v>33.6</v>
      </c>
      <c r="G10">
        <f t="shared" si="2"/>
        <v>-25.6</v>
      </c>
      <c r="H10" s="1">
        <v>38253</v>
      </c>
    </row>
    <row r="11" spans="1:8" ht="12.75">
      <c r="A11" s="1">
        <v>38280</v>
      </c>
      <c r="B11" t="s">
        <v>301</v>
      </c>
      <c r="C11">
        <v>58</v>
      </c>
      <c r="D11">
        <v>32</v>
      </c>
      <c r="E11">
        <f t="shared" si="0"/>
        <v>60.2</v>
      </c>
      <c r="F11">
        <f t="shared" si="1"/>
        <v>32</v>
      </c>
      <c r="G11">
        <f t="shared" si="2"/>
        <v>-28.200000000000003</v>
      </c>
      <c r="H11" s="1">
        <v>38273</v>
      </c>
    </row>
    <row r="12" spans="1:8" ht="12.75">
      <c r="A12" s="1">
        <v>38277</v>
      </c>
      <c r="B12" t="s">
        <v>81</v>
      </c>
      <c r="C12">
        <v>58</v>
      </c>
      <c r="D12">
        <v>35</v>
      </c>
      <c r="E12">
        <f t="shared" si="0"/>
        <v>59.4</v>
      </c>
      <c r="F12">
        <f t="shared" si="1"/>
        <v>34</v>
      </c>
      <c r="G12">
        <f t="shared" si="2"/>
        <v>-25.4</v>
      </c>
      <c r="H12" s="1">
        <v>38275</v>
      </c>
    </row>
    <row r="13" spans="1:8" ht="12.75">
      <c r="A13" s="1">
        <v>38280</v>
      </c>
      <c r="B13" t="s">
        <v>126</v>
      </c>
      <c r="C13">
        <v>58</v>
      </c>
      <c r="D13">
        <v>37</v>
      </c>
      <c r="E13">
        <f t="shared" si="0"/>
        <v>59.4</v>
      </c>
      <c r="F13">
        <f t="shared" si="1"/>
        <v>33.6</v>
      </c>
      <c r="G13">
        <f t="shared" si="2"/>
        <v>-25.799999999999997</v>
      </c>
      <c r="H13" s="1">
        <v>38278</v>
      </c>
    </row>
    <row r="14" spans="1:8" ht="12.75">
      <c r="A14" s="1">
        <v>38285</v>
      </c>
      <c r="B14" t="s">
        <v>81</v>
      </c>
      <c r="C14">
        <v>49</v>
      </c>
      <c r="D14">
        <v>43</v>
      </c>
      <c r="E14">
        <f t="shared" si="0"/>
        <v>56</v>
      </c>
      <c r="F14">
        <f t="shared" si="1"/>
        <v>36.6</v>
      </c>
      <c r="G14">
        <f t="shared" si="2"/>
        <v>-19.4</v>
      </c>
      <c r="H14" s="1">
        <v>38283</v>
      </c>
    </row>
    <row r="15" spans="1:8" ht="12.75">
      <c r="A15" s="1">
        <v>38291</v>
      </c>
      <c r="B15" t="s">
        <v>81</v>
      </c>
      <c r="C15">
        <v>61</v>
      </c>
      <c r="D15">
        <v>36</v>
      </c>
      <c r="E15">
        <f t="shared" si="0"/>
        <v>56.8</v>
      </c>
      <c r="F15">
        <f t="shared" si="1"/>
        <v>36.6</v>
      </c>
      <c r="G15">
        <f t="shared" si="2"/>
        <v>-20.199999999999996</v>
      </c>
      <c r="H15" s="1">
        <v>38288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H18" sqref="H18"/>
    </sheetView>
  </sheetViews>
  <sheetFormatPr defaultColWidth="11.00390625" defaultRowHeight="12.75"/>
  <sheetData>
    <row r="3" spans="3:7" ht="12.75">
      <c r="C3" s="3" t="s">
        <v>14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53</v>
      </c>
      <c r="D5">
        <v>33</v>
      </c>
      <c r="E5">
        <f aca="true" t="shared" si="0" ref="E5:F17">AVERAGE(C1:C5)</f>
        <v>53</v>
      </c>
      <c r="F5">
        <f t="shared" si="0"/>
        <v>33</v>
      </c>
      <c r="G5">
        <f aca="true" t="shared" si="1" ref="G5:G17">F5-E5</f>
        <v>-20</v>
      </c>
      <c r="H5" s="1">
        <v>38044</v>
      </c>
    </row>
    <row r="6" spans="1:8" ht="12.75">
      <c r="A6" s="1">
        <v>38058</v>
      </c>
      <c r="B6" t="s">
        <v>91</v>
      </c>
      <c r="C6">
        <v>43</v>
      </c>
      <c r="D6">
        <v>27</v>
      </c>
      <c r="E6">
        <f t="shared" si="0"/>
        <v>48</v>
      </c>
      <c r="F6">
        <f t="shared" si="0"/>
        <v>30</v>
      </c>
      <c r="G6">
        <f t="shared" si="1"/>
        <v>-18</v>
      </c>
      <c r="H6" s="1">
        <v>38056</v>
      </c>
    </row>
    <row r="7" spans="1:8" ht="12.75">
      <c r="A7" s="1">
        <v>38063</v>
      </c>
      <c r="B7" t="s">
        <v>169</v>
      </c>
      <c r="C7">
        <v>59</v>
      </c>
      <c r="D7">
        <v>30</v>
      </c>
      <c r="E7">
        <f t="shared" si="0"/>
        <v>51.666666666666664</v>
      </c>
      <c r="F7">
        <f t="shared" si="0"/>
        <v>30</v>
      </c>
      <c r="G7">
        <f t="shared" si="1"/>
        <v>-21.666666666666664</v>
      </c>
      <c r="H7" s="1">
        <v>38063</v>
      </c>
    </row>
    <row r="8" spans="1:8" ht="12.75">
      <c r="A8" s="1">
        <v>38122</v>
      </c>
      <c r="B8" t="s">
        <v>169</v>
      </c>
      <c r="C8">
        <v>57</v>
      </c>
      <c r="D8">
        <v>33</v>
      </c>
      <c r="E8">
        <f t="shared" si="0"/>
        <v>53</v>
      </c>
      <c r="F8">
        <f t="shared" si="0"/>
        <v>30.75</v>
      </c>
      <c r="G8">
        <f t="shared" si="1"/>
        <v>-22.25</v>
      </c>
      <c r="H8" s="1">
        <v>38121</v>
      </c>
    </row>
    <row r="9" spans="1:8" ht="12.75">
      <c r="A9" s="1">
        <v>38153</v>
      </c>
      <c r="B9" t="s">
        <v>169</v>
      </c>
      <c r="C9">
        <v>48</v>
      </c>
      <c r="D9">
        <v>39</v>
      </c>
      <c r="E9">
        <f t="shared" si="0"/>
        <v>52</v>
      </c>
      <c r="F9">
        <f t="shared" si="0"/>
        <v>32.4</v>
      </c>
      <c r="G9">
        <f t="shared" si="1"/>
        <v>-19.6</v>
      </c>
      <c r="H9" s="1">
        <v>38149</v>
      </c>
    </row>
    <row r="10" spans="1:8" ht="12.75">
      <c r="A10" s="1">
        <v>38176</v>
      </c>
      <c r="B10" t="s">
        <v>239</v>
      </c>
      <c r="C10">
        <v>39</v>
      </c>
      <c r="D10">
        <v>41</v>
      </c>
      <c r="E10">
        <f t="shared" si="0"/>
        <v>49.2</v>
      </c>
      <c r="F10">
        <f t="shared" si="0"/>
        <v>34</v>
      </c>
      <c r="G10">
        <f t="shared" si="1"/>
        <v>-15.200000000000003</v>
      </c>
      <c r="H10" s="1">
        <v>38167</v>
      </c>
    </row>
    <row r="11" spans="1:8" ht="12.75">
      <c r="A11" s="1">
        <v>38185</v>
      </c>
      <c r="B11" t="s">
        <v>169</v>
      </c>
      <c r="C11">
        <v>47</v>
      </c>
      <c r="D11">
        <v>37</v>
      </c>
      <c r="E11">
        <f t="shared" si="0"/>
        <v>50</v>
      </c>
      <c r="F11">
        <f t="shared" si="0"/>
        <v>36</v>
      </c>
      <c r="G11">
        <f t="shared" si="1"/>
        <v>-14</v>
      </c>
      <c r="H11" s="1">
        <v>38182</v>
      </c>
    </row>
    <row r="12" spans="1:8" ht="12.75">
      <c r="A12" s="1">
        <v>38253</v>
      </c>
      <c r="B12" t="s">
        <v>59</v>
      </c>
      <c r="C12">
        <v>53</v>
      </c>
      <c r="D12">
        <v>41</v>
      </c>
      <c r="E12">
        <f t="shared" si="0"/>
        <v>48.8</v>
      </c>
      <c r="F12">
        <f t="shared" si="0"/>
        <v>38.2</v>
      </c>
      <c r="G12">
        <f t="shared" si="1"/>
        <v>-10.599999999999994</v>
      </c>
      <c r="H12" s="1">
        <v>38251</v>
      </c>
    </row>
    <row r="13" spans="1:8" ht="12.75">
      <c r="A13" s="1">
        <v>38255</v>
      </c>
      <c r="B13" t="s">
        <v>169</v>
      </c>
      <c r="C13">
        <v>51</v>
      </c>
      <c r="D13">
        <v>42</v>
      </c>
      <c r="E13">
        <f t="shared" si="0"/>
        <v>47.6</v>
      </c>
      <c r="F13">
        <f t="shared" si="0"/>
        <v>40</v>
      </c>
      <c r="G13">
        <f t="shared" si="1"/>
        <v>-7.600000000000001</v>
      </c>
      <c r="H13" s="1">
        <v>38251</v>
      </c>
    </row>
    <row r="14" spans="1:8" ht="12.75">
      <c r="A14" s="1">
        <v>38283</v>
      </c>
      <c r="B14" t="s">
        <v>146</v>
      </c>
      <c r="C14">
        <v>51</v>
      </c>
      <c r="D14">
        <v>36</v>
      </c>
      <c r="E14">
        <f t="shared" si="0"/>
        <v>48.2</v>
      </c>
      <c r="F14">
        <f t="shared" si="0"/>
        <v>39.4</v>
      </c>
      <c r="G14">
        <f t="shared" si="1"/>
        <v>-8.800000000000004</v>
      </c>
      <c r="H14" s="1">
        <v>38280</v>
      </c>
    </row>
    <row r="15" spans="1:8" ht="12.75">
      <c r="A15" s="1">
        <v>38285</v>
      </c>
      <c r="B15" t="s">
        <v>81</v>
      </c>
      <c r="C15">
        <v>52</v>
      </c>
      <c r="D15">
        <v>41</v>
      </c>
      <c r="E15">
        <f t="shared" si="0"/>
        <v>50.8</v>
      </c>
      <c r="F15">
        <f t="shared" si="0"/>
        <v>39.4</v>
      </c>
      <c r="G15">
        <f t="shared" si="1"/>
        <v>-11.399999999999999</v>
      </c>
      <c r="H15" s="1">
        <v>38281</v>
      </c>
    </row>
    <row r="16" spans="1:8" ht="12.75">
      <c r="A16" s="1">
        <v>38288</v>
      </c>
      <c r="B16" t="s">
        <v>169</v>
      </c>
      <c r="C16">
        <v>54</v>
      </c>
      <c r="D16">
        <v>44</v>
      </c>
      <c r="E16">
        <f t="shared" si="0"/>
        <v>52.2</v>
      </c>
      <c r="F16">
        <f t="shared" si="0"/>
        <v>40.8</v>
      </c>
      <c r="G16">
        <f t="shared" si="1"/>
        <v>-11.400000000000006</v>
      </c>
      <c r="H16" s="1">
        <v>38286</v>
      </c>
    </row>
    <row r="17" spans="1:8" ht="12.75">
      <c r="A17" s="1">
        <v>38292</v>
      </c>
      <c r="B17" t="s">
        <v>59</v>
      </c>
      <c r="C17">
        <v>51</v>
      </c>
      <c r="D17">
        <v>44</v>
      </c>
      <c r="E17">
        <f t="shared" si="0"/>
        <v>51.8</v>
      </c>
      <c r="F17">
        <f t="shared" si="0"/>
        <v>41.4</v>
      </c>
      <c r="G17">
        <f t="shared" si="1"/>
        <v>-10.399999999999999</v>
      </c>
      <c r="H17" s="1">
        <v>38290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K37"/>
  <sheetViews>
    <sheetView zoomScalePageLayoutView="0" workbookViewId="0" topLeftCell="A1">
      <selection activeCell="C32" sqref="C32"/>
    </sheetView>
  </sheetViews>
  <sheetFormatPr defaultColWidth="11.00390625" defaultRowHeight="12.75"/>
  <sheetData>
    <row r="3" spans="3:7" ht="12.75">
      <c r="C3" s="3" t="s">
        <v>160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98</v>
      </c>
    </row>
    <row r="5" spans="1:8" ht="12.75">
      <c r="A5" s="1">
        <v>37952</v>
      </c>
      <c r="B5" t="s">
        <v>126</v>
      </c>
      <c r="C5">
        <v>39</v>
      </c>
      <c r="D5">
        <v>52</v>
      </c>
      <c r="E5">
        <f aca="true" t="shared" si="0" ref="E5:E37">AVERAGE(C1:C5)</f>
        <v>39</v>
      </c>
      <c r="F5">
        <f aca="true" t="shared" si="1" ref="F5:F37">AVERAGE(D1:D5)</f>
        <v>52</v>
      </c>
      <c r="G5">
        <f aca="true" t="shared" si="2" ref="G5:G37">F5-E5</f>
        <v>13</v>
      </c>
      <c r="H5" s="1">
        <v>37935</v>
      </c>
    </row>
    <row r="6" spans="1:9" ht="12.75">
      <c r="A6" s="1">
        <v>38093</v>
      </c>
      <c r="B6" t="s">
        <v>126</v>
      </c>
      <c r="C6">
        <v>34</v>
      </c>
      <c r="D6">
        <v>61</v>
      </c>
      <c r="E6">
        <f t="shared" si="0"/>
        <v>36.5</v>
      </c>
      <c r="F6">
        <f t="shared" si="1"/>
        <v>56.5</v>
      </c>
      <c r="G6">
        <f t="shared" si="2"/>
        <v>20</v>
      </c>
      <c r="H6" s="1">
        <v>38033</v>
      </c>
      <c r="I6" t="s">
        <v>74</v>
      </c>
    </row>
    <row r="7" spans="1:9" ht="12.75">
      <c r="A7" s="1">
        <v>38051</v>
      </c>
      <c r="B7" t="s">
        <v>126</v>
      </c>
      <c r="C7">
        <v>40</v>
      </c>
      <c r="D7">
        <v>51</v>
      </c>
      <c r="E7">
        <f t="shared" si="0"/>
        <v>37.666666666666664</v>
      </c>
      <c r="F7">
        <f t="shared" si="1"/>
        <v>54.666666666666664</v>
      </c>
      <c r="G7">
        <f t="shared" si="2"/>
        <v>17</v>
      </c>
      <c r="H7" s="1">
        <v>38044</v>
      </c>
      <c r="I7" t="s">
        <v>74</v>
      </c>
    </row>
    <row r="8" spans="1:9" ht="12.75">
      <c r="A8" s="1">
        <v>38093</v>
      </c>
      <c r="B8" t="s">
        <v>169</v>
      </c>
      <c r="C8">
        <v>38</v>
      </c>
      <c r="D8">
        <v>53</v>
      </c>
      <c r="E8">
        <f t="shared" si="0"/>
        <v>37.75</v>
      </c>
      <c r="F8">
        <f t="shared" si="1"/>
        <v>54.25</v>
      </c>
      <c r="G8">
        <f t="shared" si="2"/>
        <v>16.5</v>
      </c>
      <c r="H8" s="1">
        <v>38060</v>
      </c>
      <c r="I8" t="s">
        <v>74</v>
      </c>
    </row>
    <row r="9" spans="1:9" ht="12.75">
      <c r="A9" s="1">
        <v>38093</v>
      </c>
      <c r="B9" t="s">
        <v>126</v>
      </c>
      <c r="C9">
        <v>40</v>
      </c>
      <c r="D9">
        <v>54</v>
      </c>
      <c r="E9">
        <f t="shared" si="0"/>
        <v>38.2</v>
      </c>
      <c r="F9">
        <f t="shared" si="1"/>
        <v>54.2</v>
      </c>
      <c r="G9">
        <f t="shared" si="2"/>
        <v>16</v>
      </c>
      <c r="H9" s="1">
        <v>38061</v>
      </c>
      <c r="I9" t="s">
        <v>74</v>
      </c>
    </row>
    <row r="10" spans="1:9" ht="12.75">
      <c r="A10" s="1">
        <v>38073</v>
      </c>
      <c r="B10" t="s">
        <v>42</v>
      </c>
      <c r="C10">
        <v>40</v>
      </c>
      <c r="D10">
        <v>49</v>
      </c>
      <c r="E10">
        <f t="shared" si="0"/>
        <v>38.4</v>
      </c>
      <c r="F10">
        <f t="shared" si="1"/>
        <v>53.6</v>
      </c>
      <c r="G10">
        <f t="shared" si="2"/>
        <v>15.200000000000003</v>
      </c>
      <c r="H10" s="1">
        <v>38063</v>
      </c>
      <c r="I10" t="s">
        <v>74</v>
      </c>
    </row>
    <row r="11" spans="1:8" ht="12.75">
      <c r="A11" s="1">
        <v>38094</v>
      </c>
      <c r="B11" t="s">
        <v>126</v>
      </c>
      <c r="C11">
        <v>43</v>
      </c>
      <c r="D11">
        <v>50</v>
      </c>
      <c r="E11">
        <f t="shared" si="0"/>
        <v>40.2</v>
      </c>
      <c r="F11">
        <f t="shared" si="1"/>
        <v>51.4</v>
      </c>
      <c r="G11">
        <f t="shared" si="2"/>
        <v>11.199999999999996</v>
      </c>
      <c r="H11" s="1">
        <v>38089</v>
      </c>
    </row>
    <row r="12" spans="1:8" ht="12.75">
      <c r="A12" s="1">
        <v>38094</v>
      </c>
      <c r="B12" t="s">
        <v>169</v>
      </c>
      <c r="C12">
        <v>43</v>
      </c>
      <c r="D12">
        <v>50</v>
      </c>
      <c r="E12">
        <f t="shared" si="0"/>
        <v>40.8</v>
      </c>
      <c r="F12">
        <f t="shared" si="1"/>
        <v>51.2</v>
      </c>
      <c r="G12">
        <f t="shared" si="2"/>
        <v>10.400000000000006</v>
      </c>
      <c r="H12" s="1">
        <v>38092</v>
      </c>
    </row>
    <row r="13" spans="1:8" ht="12.75">
      <c r="A13" s="1">
        <v>38129</v>
      </c>
      <c r="B13" t="s">
        <v>42</v>
      </c>
      <c r="C13">
        <v>37</v>
      </c>
      <c r="D13">
        <v>54</v>
      </c>
      <c r="E13">
        <f t="shared" si="0"/>
        <v>40.6</v>
      </c>
      <c r="F13">
        <f t="shared" si="1"/>
        <v>51.4</v>
      </c>
      <c r="G13">
        <f t="shared" si="2"/>
        <v>10.799999999999997</v>
      </c>
      <c r="H13" s="1">
        <v>38124</v>
      </c>
    </row>
    <row r="14" spans="1:8" ht="12.75">
      <c r="A14" s="1">
        <v>38129</v>
      </c>
      <c r="B14" t="s">
        <v>169</v>
      </c>
      <c r="C14">
        <v>38</v>
      </c>
      <c r="D14">
        <v>52</v>
      </c>
      <c r="E14">
        <f t="shared" si="0"/>
        <v>40.2</v>
      </c>
      <c r="F14">
        <f t="shared" si="1"/>
        <v>51</v>
      </c>
      <c r="G14">
        <f t="shared" si="2"/>
        <v>10.799999999999997</v>
      </c>
      <c r="H14" s="1">
        <v>38126</v>
      </c>
    </row>
    <row r="15" spans="1:8" ht="12.75">
      <c r="A15" s="1">
        <v>38130</v>
      </c>
      <c r="B15" t="s">
        <v>155</v>
      </c>
      <c r="C15">
        <v>40</v>
      </c>
      <c r="D15">
        <v>47</v>
      </c>
      <c r="E15">
        <f t="shared" si="0"/>
        <v>40.2</v>
      </c>
      <c r="F15">
        <f t="shared" si="1"/>
        <v>50.6</v>
      </c>
      <c r="G15">
        <f t="shared" si="2"/>
        <v>10.399999999999999</v>
      </c>
      <c r="H15" s="1">
        <v>38127</v>
      </c>
    </row>
    <row r="16" spans="1:8" ht="12.75">
      <c r="A16" s="1">
        <v>38130</v>
      </c>
      <c r="B16" t="s">
        <v>126</v>
      </c>
      <c r="C16">
        <v>41</v>
      </c>
      <c r="D16">
        <v>49</v>
      </c>
      <c r="E16">
        <f t="shared" si="0"/>
        <v>39.8</v>
      </c>
      <c r="F16">
        <f t="shared" si="1"/>
        <v>50.4</v>
      </c>
      <c r="G16">
        <f t="shared" si="2"/>
        <v>10.600000000000001</v>
      </c>
      <c r="H16" s="1">
        <v>38129</v>
      </c>
    </row>
    <row r="17" spans="1:8" ht="12.75">
      <c r="A17" s="1">
        <v>38136</v>
      </c>
      <c r="B17" t="s">
        <v>34</v>
      </c>
      <c r="C17">
        <v>35</v>
      </c>
      <c r="D17">
        <v>52</v>
      </c>
      <c r="E17">
        <f t="shared" si="0"/>
        <v>38.2</v>
      </c>
      <c r="F17">
        <f t="shared" si="1"/>
        <v>50.8</v>
      </c>
      <c r="G17">
        <f t="shared" si="2"/>
        <v>12.599999999999994</v>
      </c>
      <c r="H17" s="1">
        <v>38133</v>
      </c>
    </row>
    <row r="18" spans="1:8" ht="12.75">
      <c r="A18" s="1">
        <v>38158</v>
      </c>
      <c r="B18" t="s">
        <v>126</v>
      </c>
      <c r="C18">
        <v>41</v>
      </c>
      <c r="D18">
        <v>53</v>
      </c>
      <c r="E18">
        <f t="shared" si="0"/>
        <v>39</v>
      </c>
      <c r="F18">
        <f t="shared" si="1"/>
        <v>50.6</v>
      </c>
      <c r="G18">
        <f t="shared" si="2"/>
        <v>11.600000000000001</v>
      </c>
      <c r="H18" s="1">
        <v>38157</v>
      </c>
    </row>
    <row r="19" spans="1:8" ht="12.75">
      <c r="A19" s="1">
        <v>38163</v>
      </c>
      <c r="B19" t="s">
        <v>169</v>
      </c>
      <c r="C19">
        <v>30</v>
      </c>
      <c r="D19">
        <v>58</v>
      </c>
      <c r="E19">
        <f t="shared" si="0"/>
        <v>37.4</v>
      </c>
      <c r="F19">
        <f t="shared" si="1"/>
        <v>51.8</v>
      </c>
      <c r="G19">
        <f t="shared" si="2"/>
        <v>14.399999999999999</v>
      </c>
      <c r="H19" s="1">
        <v>38162</v>
      </c>
    </row>
    <row r="20" spans="1:8" ht="12.75">
      <c r="A20" s="1">
        <v>38176</v>
      </c>
      <c r="B20" t="s">
        <v>239</v>
      </c>
      <c r="C20">
        <v>32</v>
      </c>
      <c r="D20">
        <v>52</v>
      </c>
      <c r="E20">
        <f t="shared" si="0"/>
        <v>35.8</v>
      </c>
      <c r="F20">
        <f t="shared" si="1"/>
        <v>52.8</v>
      </c>
      <c r="G20">
        <f t="shared" si="2"/>
        <v>17</v>
      </c>
      <c r="H20" s="1">
        <v>38167</v>
      </c>
    </row>
    <row r="21" spans="1:8" ht="12.75">
      <c r="A21" s="1">
        <v>38183</v>
      </c>
      <c r="B21" t="s">
        <v>34</v>
      </c>
      <c r="C21">
        <v>30</v>
      </c>
      <c r="D21">
        <v>54</v>
      </c>
      <c r="E21">
        <f t="shared" si="0"/>
        <v>33.6</v>
      </c>
      <c r="F21">
        <f t="shared" si="1"/>
        <v>53.8</v>
      </c>
      <c r="G21">
        <f t="shared" si="2"/>
        <v>20.199999999999996</v>
      </c>
      <c r="H21" s="1">
        <v>38181</v>
      </c>
    </row>
    <row r="22" spans="1:8" ht="12.75">
      <c r="A22" s="1">
        <v>38199</v>
      </c>
      <c r="B22" t="s">
        <v>42</v>
      </c>
      <c r="C22">
        <v>35</v>
      </c>
      <c r="D22">
        <v>50</v>
      </c>
      <c r="E22">
        <f t="shared" si="0"/>
        <v>33.6</v>
      </c>
      <c r="F22">
        <f t="shared" si="1"/>
        <v>53.4</v>
      </c>
      <c r="G22">
        <f t="shared" si="2"/>
        <v>19.799999999999997</v>
      </c>
      <c r="H22" s="1">
        <v>38189</v>
      </c>
    </row>
    <row r="23" spans="1:8" ht="12.75">
      <c r="A23" s="1">
        <v>38194</v>
      </c>
      <c r="B23" t="s">
        <v>169</v>
      </c>
      <c r="C23">
        <v>42</v>
      </c>
      <c r="D23">
        <v>52</v>
      </c>
      <c r="E23">
        <f t="shared" si="0"/>
        <v>33.8</v>
      </c>
      <c r="F23">
        <f t="shared" si="1"/>
        <v>53.2</v>
      </c>
      <c r="G23">
        <f t="shared" si="2"/>
        <v>19.400000000000006</v>
      </c>
      <c r="H23" s="1">
        <v>38191</v>
      </c>
    </row>
    <row r="24" spans="1:8" ht="12.75">
      <c r="A24" s="1">
        <v>38226</v>
      </c>
      <c r="B24" t="s">
        <v>42</v>
      </c>
      <c r="C24">
        <v>39</v>
      </c>
      <c r="D24">
        <v>48</v>
      </c>
      <c r="E24">
        <f t="shared" si="0"/>
        <v>35.6</v>
      </c>
      <c r="F24">
        <f t="shared" si="1"/>
        <v>51.2</v>
      </c>
      <c r="G24">
        <f t="shared" si="2"/>
        <v>15.600000000000001</v>
      </c>
      <c r="H24" s="1">
        <v>38217</v>
      </c>
    </row>
    <row r="25" spans="1:8" ht="12.75">
      <c r="A25" s="1">
        <v>38221</v>
      </c>
      <c r="B25" t="s">
        <v>169</v>
      </c>
      <c r="C25">
        <v>41</v>
      </c>
      <c r="D25">
        <v>54</v>
      </c>
      <c r="E25">
        <f t="shared" si="0"/>
        <v>37.4</v>
      </c>
      <c r="F25">
        <f t="shared" si="1"/>
        <v>51.6</v>
      </c>
      <c r="G25">
        <f t="shared" si="2"/>
        <v>14.200000000000003</v>
      </c>
      <c r="H25" s="1">
        <v>38218</v>
      </c>
    </row>
    <row r="26" spans="1:8" ht="12.75">
      <c r="A26" s="1">
        <v>38247</v>
      </c>
      <c r="B26" t="s">
        <v>34</v>
      </c>
      <c r="C26">
        <v>36</v>
      </c>
      <c r="D26">
        <v>52</v>
      </c>
      <c r="E26">
        <f t="shared" si="0"/>
        <v>38.6</v>
      </c>
      <c r="F26">
        <f t="shared" si="1"/>
        <v>51.2</v>
      </c>
      <c r="G26">
        <f t="shared" si="2"/>
        <v>12.600000000000001</v>
      </c>
      <c r="H26" s="1">
        <v>38243</v>
      </c>
    </row>
    <row r="27" spans="1:8" ht="12.75">
      <c r="A27" s="1">
        <v>38255</v>
      </c>
      <c r="B27" t="s">
        <v>42</v>
      </c>
      <c r="C27">
        <v>40</v>
      </c>
      <c r="D27">
        <v>50</v>
      </c>
      <c r="E27">
        <f t="shared" si="0"/>
        <v>39.6</v>
      </c>
      <c r="F27">
        <f t="shared" si="1"/>
        <v>51.2</v>
      </c>
      <c r="G27">
        <f t="shared" si="2"/>
        <v>11.600000000000001</v>
      </c>
      <c r="H27" s="1">
        <v>38245</v>
      </c>
    </row>
    <row r="28" spans="1:8" ht="12.75">
      <c r="A28" s="1">
        <v>38251</v>
      </c>
      <c r="B28" t="s">
        <v>59</v>
      </c>
      <c r="C28">
        <v>39</v>
      </c>
      <c r="D28">
        <v>53</v>
      </c>
      <c r="E28">
        <f t="shared" si="0"/>
        <v>39</v>
      </c>
      <c r="F28">
        <f t="shared" si="1"/>
        <v>51.4</v>
      </c>
      <c r="G28">
        <f t="shared" si="2"/>
        <v>12.399999999999999</v>
      </c>
      <c r="H28" s="1">
        <v>38249</v>
      </c>
    </row>
    <row r="29" spans="1:8" ht="12.75">
      <c r="A29" s="1">
        <v>38253</v>
      </c>
      <c r="B29" t="s">
        <v>169</v>
      </c>
      <c r="C29">
        <v>39</v>
      </c>
      <c r="D29">
        <v>56</v>
      </c>
      <c r="E29">
        <f t="shared" si="0"/>
        <v>39</v>
      </c>
      <c r="F29">
        <f t="shared" si="1"/>
        <v>53</v>
      </c>
      <c r="G29">
        <f t="shared" si="2"/>
        <v>14</v>
      </c>
      <c r="H29" s="1">
        <v>38251</v>
      </c>
    </row>
    <row r="30" spans="1:8" ht="12.75">
      <c r="A30" s="1">
        <v>38256</v>
      </c>
      <c r="B30" t="s">
        <v>126</v>
      </c>
      <c r="C30">
        <v>43</v>
      </c>
      <c r="D30">
        <v>53</v>
      </c>
      <c r="E30">
        <f t="shared" si="0"/>
        <v>39.4</v>
      </c>
      <c r="F30">
        <f t="shared" si="1"/>
        <v>52.8</v>
      </c>
      <c r="G30">
        <f t="shared" si="2"/>
        <v>13.399999999999999</v>
      </c>
      <c r="H30" s="1">
        <v>38253</v>
      </c>
    </row>
    <row r="31" spans="1:8" ht="12.75">
      <c r="A31" s="1">
        <v>38266</v>
      </c>
      <c r="B31" t="s">
        <v>126</v>
      </c>
      <c r="C31">
        <v>39</v>
      </c>
      <c r="D31">
        <v>55</v>
      </c>
      <c r="E31">
        <f t="shared" si="0"/>
        <v>40</v>
      </c>
      <c r="F31">
        <f t="shared" si="1"/>
        <v>53.4</v>
      </c>
      <c r="G31">
        <f t="shared" si="2"/>
        <v>13.399999999999999</v>
      </c>
      <c r="H31" s="1">
        <v>38264</v>
      </c>
    </row>
    <row r="32" spans="1:8" ht="12.75">
      <c r="A32" s="1">
        <v>38271</v>
      </c>
      <c r="B32" t="s">
        <v>169</v>
      </c>
      <c r="C32">
        <v>40</v>
      </c>
      <c r="D32">
        <v>56</v>
      </c>
      <c r="E32">
        <f t="shared" si="0"/>
        <v>40</v>
      </c>
      <c r="F32">
        <f t="shared" si="1"/>
        <v>54.6</v>
      </c>
      <c r="G32">
        <f t="shared" si="2"/>
        <v>14.600000000000001</v>
      </c>
      <c r="H32" s="1">
        <v>38268</v>
      </c>
    </row>
    <row r="33" spans="1:11" ht="12.75">
      <c r="A33" s="1">
        <v>38277</v>
      </c>
      <c r="B33" t="s">
        <v>126</v>
      </c>
      <c r="C33">
        <v>35</v>
      </c>
      <c r="D33">
        <v>59</v>
      </c>
      <c r="E33">
        <f t="shared" si="0"/>
        <v>39.2</v>
      </c>
      <c r="F33">
        <f t="shared" si="1"/>
        <v>55.8</v>
      </c>
      <c r="G33">
        <f t="shared" si="2"/>
        <v>16.599999999999994</v>
      </c>
      <c r="H33" s="1">
        <v>38275</v>
      </c>
      <c r="I33">
        <f>AVERAGE(C32:C33)</f>
        <v>37.5</v>
      </c>
      <c r="J33">
        <f>AVERAGE(D32:D33)</f>
        <v>57.5</v>
      </c>
      <c r="K33">
        <f>J33-I33</f>
        <v>20</v>
      </c>
    </row>
    <row r="34" spans="1:8" ht="12.75">
      <c r="A34" s="1">
        <v>38283</v>
      </c>
      <c r="B34" t="s">
        <v>42</v>
      </c>
      <c r="C34">
        <v>33</v>
      </c>
      <c r="D34">
        <v>56</v>
      </c>
      <c r="E34">
        <f t="shared" si="0"/>
        <v>38</v>
      </c>
      <c r="F34">
        <f t="shared" si="1"/>
        <v>55.8</v>
      </c>
      <c r="G34">
        <f t="shared" si="2"/>
        <v>17.799999999999997</v>
      </c>
      <c r="H34" s="1">
        <v>38278</v>
      </c>
    </row>
    <row r="35" spans="1:8" ht="12.75">
      <c r="A35" s="1">
        <v>38287</v>
      </c>
      <c r="B35" t="s">
        <v>169</v>
      </c>
      <c r="C35">
        <v>34</v>
      </c>
      <c r="D35">
        <v>61</v>
      </c>
      <c r="E35">
        <f t="shared" si="0"/>
        <v>36.2</v>
      </c>
      <c r="F35">
        <f t="shared" si="1"/>
        <v>57.4</v>
      </c>
      <c r="G35">
        <f t="shared" si="2"/>
        <v>21.199999999999996</v>
      </c>
      <c r="H35" s="1">
        <v>38284</v>
      </c>
    </row>
    <row r="36" spans="1:8" ht="12.75">
      <c r="A36" s="1">
        <v>38290</v>
      </c>
      <c r="B36" t="s">
        <v>34</v>
      </c>
      <c r="C36">
        <v>33</v>
      </c>
      <c r="D36">
        <v>55</v>
      </c>
      <c r="E36">
        <f t="shared" si="0"/>
        <v>35</v>
      </c>
      <c r="F36">
        <f t="shared" si="1"/>
        <v>57.4</v>
      </c>
      <c r="G36">
        <f t="shared" si="2"/>
        <v>22.4</v>
      </c>
      <c r="H36" s="1">
        <v>38287</v>
      </c>
    </row>
    <row r="37" spans="1:8" ht="12.75">
      <c r="A37" s="1">
        <v>38291</v>
      </c>
      <c r="B37" t="s">
        <v>126</v>
      </c>
      <c r="C37">
        <v>36</v>
      </c>
      <c r="D37">
        <v>60</v>
      </c>
      <c r="E37">
        <f t="shared" si="0"/>
        <v>34.2</v>
      </c>
      <c r="F37">
        <f t="shared" si="1"/>
        <v>58.2</v>
      </c>
      <c r="G37">
        <f t="shared" si="2"/>
        <v>24</v>
      </c>
      <c r="H37" s="1">
        <v>38290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K68"/>
  <sheetViews>
    <sheetView zoomScalePageLayoutView="0" workbookViewId="0" topLeftCell="A1">
      <pane ySplit="2080" topLeftCell="BM46" activePane="bottomLeft" state="split"/>
      <selection pane="topLeft" activeCell="A1" sqref="A1"/>
      <selection pane="bottomLeft" activeCell="H70" sqref="H70"/>
    </sheetView>
  </sheetViews>
  <sheetFormatPr defaultColWidth="11.00390625" defaultRowHeight="12.75"/>
  <sheetData>
    <row r="3" spans="3:7" ht="12.75">
      <c r="C3" s="3" t="s">
        <v>17</v>
      </c>
      <c r="D3" s="3"/>
      <c r="E3" s="3"/>
      <c r="F3" s="3"/>
      <c r="G3" s="3"/>
    </row>
    <row r="4" spans="1:8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  <c r="H4" t="s">
        <v>97</v>
      </c>
    </row>
    <row r="5" spans="1:8" ht="12.75">
      <c r="A5" s="1">
        <v>38091</v>
      </c>
      <c r="B5" t="s">
        <v>169</v>
      </c>
      <c r="C5">
        <v>39</v>
      </c>
      <c r="D5">
        <v>46</v>
      </c>
      <c r="E5">
        <f>AVERAGE(C1:C5)</f>
        <v>39</v>
      </c>
      <c r="F5">
        <f>AVERAGE(D1:D5)</f>
        <v>46</v>
      </c>
      <c r="G5">
        <f>F5-E5</f>
        <v>7</v>
      </c>
      <c r="H5" s="1">
        <v>38027</v>
      </c>
    </row>
    <row r="6" spans="1:8" ht="12.75">
      <c r="A6" s="1">
        <v>38051</v>
      </c>
      <c r="B6" t="s">
        <v>126</v>
      </c>
      <c r="C6">
        <v>41</v>
      </c>
      <c r="D6">
        <v>50</v>
      </c>
      <c r="E6">
        <f>AVERAGE(C2:C6)</f>
        <v>40</v>
      </c>
      <c r="F6">
        <f>AVERAGE(D2:D6)</f>
        <v>48</v>
      </c>
      <c r="G6">
        <f>F6-E6</f>
        <v>8</v>
      </c>
      <c r="H6" s="1">
        <v>38044</v>
      </c>
    </row>
    <row r="7" spans="1:8" ht="12.75">
      <c r="A7" s="1">
        <v>38091</v>
      </c>
      <c r="B7" t="s">
        <v>169</v>
      </c>
      <c r="C7">
        <v>46</v>
      </c>
      <c r="D7">
        <v>46</v>
      </c>
      <c r="E7">
        <f>AVERAGE(C3:C7)</f>
        <v>42</v>
      </c>
      <c r="F7">
        <f>AVERAGE(D3:D7)</f>
        <v>47.333333333333336</v>
      </c>
      <c r="G7">
        <f>F7-E7</f>
        <v>5.333333333333336</v>
      </c>
      <c r="H7" s="1">
        <v>38062</v>
      </c>
    </row>
    <row r="8" spans="1:8" ht="12.75">
      <c r="A8" s="1">
        <v>38093</v>
      </c>
      <c r="B8" t="s">
        <v>149</v>
      </c>
      <c r="C8">
        <v>51</v>
      </c>
      <c r="D8">
        <v>39</v>
      </c>
      <c r="E8">
        <f>AVERAGE(C4:C8)</f>
        <v>44.25</v>
      </c>
      <c r="F8">
        <f>AVERAGE(D4:D8)</f>
        <v>45.25</v>
      </c>
      <c r="G8">
        <f>F8-E8</f>
        <v>1</v>
      </c>
      <c r="H8" s="1">
        <v>38083</v>
      </c>
    </row>
    <row r="9" spans="1:8" ht="12.75">
      <c r="A9" s="1">
        <v>38098</v>
      </c>
      <c r="B9" t="s">
        <v>169</v>
      </c>
      <c r="C9">
        <v>43</v>
      </c>
      <c r="D9">
        <v>46</v>
      </c>
      <c r="E9">
        <f>AVERAGE(C5:C9)</f>
        <v>44</v>
      </c>
      <c r="F9">
        <f>AVERAGE(D5:D9)</f>
        <v>45.4</v>
      </c>
      <c r="G9">
        <f>F9-E9</f>
        <v>1.3999999999999986</v>
      </c>
      <c r="H9" s="1">
        <v>38092</v>
      </c>
    </row>
    <row r="10" spans="1:8" ht="12.75">
      <c r="A10" s="1">
        <v>38128</v>
      </c>
      <c r="B10" t="s">
        <v>126</v>
      </c>
      <c r="C10">
        <v>41</v>
      </c>
      <c r="D10">
        <v>49</v>
      </c>
      <c r="E10">
        <f>AVERAGE(C6:C10)</f>
        <v>44.4</v>
      </c>
      <c r="F10">
        <f>AVERAGE(D6:D10)</f>
        <v>46</v>
      </c>
      <c r="G10">
        <f>F10-E10</f>
        <v>1.6000000000000014</v>
      </c>
      <c r="H10" s="1">
        <v>38124</v>
      </c>
    </row>
    <row r="11" spans="1:8" ht="12.75">
      <c r="A11" s="1">
        <v>38127</v>
      </c>
      <c r="B11" t="s">
        <v>169</v>
      </c>
      <c r="C11">
        <v>42</v>
      </c>
      <c r="D11">
        <v>48</v>
      </c>
      <c r="E11">
        <f>AVERAGE(C7:C11)</f>
        <v>44.6</v>
      </c>
      <c r="F11">
        <f>AVERAGE(D7:D11)</f>
        <v>45.6</v>
      </c>
      <c r="G11">
        <f>F11-E11</f>
        <v>1</v>
      </c>
      <c r="H11" s="1">
        <v>38125</v>
      </c>
    </row>
    <row r="12" spans="1:8" ht="12.75">
      <c r="A12" s="1">
        <v>38157</v>
      </c>
      <c r="B12" t="s">
        <v>169</v>
      </c>
      <c r="C12">
        <v>41</v>
      </c>
      <c r="D12">
        <v>43</v>
      </c>
      <c r="E12">
        <f>AVERAGE(C8:C12)</f>
        <v>43.6</v>
      </c>
      <c r="F12">
        <f>AVERAGE(D8:D12)</f>
        <v>45</v>
      </c>
      <c r="G12">
        <f>F12-E12</f>
        <v>1.3999999999999986</v>
      </c>
      <c r="H12" s="1">
        <v>38156</v>
      </c>
    </row>
    <row r="13" spans="1:8" ht="12.75">
      <c r="A13" s="1">
        <v>38164</v>
      </c>
      <c r="B13" t="s">
        <v>280</v>
      </c>
      <c r="C13">
        <v>44</v>
      </c>
      <c r="D13">
        <v>49</v>
      </c>
      <c r="E13">
        <f>AVERAGE(C9:C13)</f>
        <v>42.2</v>
      </c>
      <c r="F13">
        <f>AVERAGE(D9:D13)</f>
        <v>47</v>
      </c>
      <c r="G13">
        <f>F13-E13</f>
        <v>4.799999999999997</v>
      </c>
      <c r="H13" s="1">
        <v>38161</v>
      </c>
    </row>
    <row r="14" spans="1:8" ht="12.75">
      <c r="A14" s="1">
        <v>38176</v>
      </c>
      <c r="B14" t="s">
        <v>239</v>
      </c>
      <c r="C14">
        <v>38</v>
      </c>
      <c r="D14">
        <v>40</v>
      </c>
      <c r="E14">
        <f>AVERAGE(C10:C14)</f>
        <v>41.2</v>
      </c>
      <c r="F14">
        <f>AVERAGE(D10:D14)</f>
        <v>45.8</v>
      </c>
      <c r="G14">
        <f>F14-E14</f>
        <v>4.599999999999994</v>
      </c>
      <c r="H14" s="1">
        <v>38167</v>
      </c>
    </row>
    <row r="15" spans="1:8" ht="12.75">
      <c r="A15" s="1">
        <v>38182</v>
      </c>
      <c r="B15" t="s">
        <v>93</v>
      </c>
      <c r="C15">
        <v>43</v>
      </c>
      <c r="D15">
        <v>47</v>
      </c>
      <c r="E15">
        <f>AVERAGE(C11:C15)</f>
        <v>41.6</v>
      </c>
      <c r="F15">
        <f>AVERAGE(D11:D15)</f>
        <v>45.4</v>
      </c>
      <c r="G15">
        <f>F15-E15</f>
        <v>3.799999999999997</v>
      </c>
      <c r="H15" s="1">
        <v>38177</v>
      </c>
    </row>
    <row r="16" spans="1:8" ht="12.75">
      <c r="A16" s="1">
        <v>38190</v>
      </c>
      <c r="B16" t="s">
        <v>169</v>
      </c>
      <c r="C16">
        <v>47</v>
      </c>
      <c r="D16">
        <v>50</v>
      </c>
      <c r="E16">
        <f>AVERAGE(C12:C16)</f>
        <v>42.6</v>
      </c>
      <c r="F16">
        <f>AVERAGE(D12:D16)</f>
        <v>45.8</v>
      </c>
      <c r="G16">
        <f>F16-E16</f>
        <v>3.1999999999999957</v>
      </c>
      <c r="H16" s="1">
        <v>38188</v>
      </c>
    </row>
    <row r="17" spans="1:8" ht="12.75">
      <c r="A17" s="1">
        <v>38192</v>
      </c>
      <c r="B17" t="s">
        <v>280</v>
      </c>
      <c r="C17">
        <v>46</v>
      </c>
      <c r="D17">
        <v>44</v>
      </c>
      <c r="E17">
        <f>AVERAGE(C13:C17)</f>
        <v>43.6</v>
      </c>
      <c r="F17">
        <f>AVERAGE(D13:D17)</f>
        <v>46</v>
      </c>
      <c r="G17">
        <f>F17-E17</f>
        <v>2.3999999999999986</v>
      </c>
      <c r="H17" s="1">
        <v>38189</v>
      </c>
    </row>
    <row r="18" spans="1:8" ht="12.75">
      <c r="A18" s="1">
        <v>38193</v>
      </c>
      <c r="B18" t="s">
        <v>272</v>
      </c>
      <c r="C18">
        <v>41</v>
      </c>
      <c r="D18">
        <v>45</v>
      </c>
      <c r="E18">
        <f>AVERAGE(C14:C18)</f>
        <v>43</v>
      </c>
      <c r="F18">
        <f>AVERAGE(D14:D18)</f>
        <v>45.2</v>
      </c>
      <c r="G18">
        <f>F18-E18</f>
        <v>2.200000000000003</v>
      </c>
      <c r="H18" s="1">
        <v>38189</v>
      </c>
    </row>
    <row r="19" spans="1:8" ht="12.75">
      <c r="A19" s="1">
        <v>38210</v>
      </c>
      <c r="B19" t="s">
        <v>93</v>
      </c>
      <c r="C19">
        <v>44</v>
      </c>
      <c r="D19">
        <v>48</v>
      </c>
      <c r="E19">
        <f>AVERAGE(C15:C19)</f>
        <v>44.2</v>
      </c>
      <c r="F19">
        <f>AVERAGE(D15:D19)</f>
        <v>46.8</v>
      </c>
      <c r="G19">
        <f>F19-E19</f>
        <v>2.5999999999999943</v>
      </c>
      <c r="H19" s="1">
        <v>38205</v>
      </c>
    </row>
    <row r="20" spans="1:8" ht="12.75">
      <c r="A20" s="1">
        <v>38213</v>
      </c>
      <c r="B20" t="s">
        <v>169</v>
      </c>
      <c r="C20">
        <v>49</v>
      </c>
      <c r="D20">
        <v>48</v>
      </c>
      <c r="E20">
        <f>AVERAGE(C16:C20)</f>
        <v>45.4</v>
      </c>
      <c r="F20">
        <f>AVERAGE(D16:D20)</f>
        <v>47</v>
      </c>
      <c r="G20">
        <f>F20-E20</f>
        <v>1.6000000000000014</v>
      </c>
      <c r="H20" s="1">
        <v>38211</v>
      </c>
    </row>
    <row r="21" spans="1:8" ht="12.75">
      <c r="A21" s="1">
        <v>38214</v>
      </c>
      <c r="B21" t="s">
        <v>139</v>
      </c>
      <c r="C21">
        <v>44</v>
      </c>
      <c r="D21">
        <v>41</v>
      </c>
      <c r="E21">
        <f>AVERAGE(C17:C21)</f>
        <v>44.8</v>
      </c>
      <c r="F21">
        <f>AVERAGE(D17:D21)</f>
        <v>45.2</v>
      </c>
      <c r="G21">
        <f>F21-E21</f>
        <v>0.4000000000000057</v>
      </c>
      <c r="H21" s="1">
        <v>38211</v>
      </c>
    </row>
    <row r="22" spans="1:8" ht="12.75">
      <c r="A22" s="1">
        <v>38223</v>
      </c>
      <c r="B22" t="s">
        <v>301</v>
      </c>
      <c r="C22">
        <v>43</v>
      </c>
      <c r="D22">
        <v>46</v>
      </c>
      <c r="E22">
        <f>AVERAGE(C18:C22)</f>
        <v>44.2</v>
      </c>
      <c r="F22">
        <f>AVERAGE(D18:D22)</f>
        <v>45.6</v>
      </c>
      <c r="G22">
        <f>F22-E22</f>
        <v>1.3999999999999986</v>
      </c>
      <c r="H22" s="1">
        <v>38213</v>
      </c>
    </row>
    <row r="23" spans="1:8" ht="12.75">
      <c r="A23" s="1">
        <v>38221</v>
      </c>
      <c r="B23" t="s">
        <v>41</v>
      </c>
      <c r="C23">
        <v>38</v>
      </c>
      <c r="D23">
        <v>44</v>
      </c>
      <c r="E23">
        <f>AVERAGE(C19:C23)</f>
        <v>43.6</v>
      </c>
      <c r="F23">
        <f>AVERAGE(D19:D23)</f>
        <v>45.4</v>
      </c>
      <c r="G23">
        <f>F23-E23</f>
        <v>1.7999999999999972</v>
      </c>
      <c r="H23" s="1">
        <v>38217</v>
      </c>
    </row>
    <row r="24" spans="1:8" ht="12.75">
      <c r="A24" s="1">
        <v>38222</v>
      </c>
      <c r="B24" t="s">
        <v>280</v>
      </c>
      <c r="C24">
        <v>47</v>
      </c>
      <c r="D24">
        <v>46</v>
      </c>
      <c r="E24">
        <f>AVERAGE(C20:C24)</f>
        <v>44.2</v>
      </c>
      <c r="F24">
        <f>AVERAGE(D20:D24)</f>
        <v>45</v>
      </c>
      <c r="G24">
        <f>F24-E24</f>
        <v>0.7999999999999972</v>
      </c>
      <c r="H24" s="1">
        <v>38219</v>
      </c>
    </row>
    <row r="25" spans="1:8" ht="12.75">
      <c r="A25" s="1">
        <v>38223</v>
      </c>
      <c r="B25" t="s">
        <v>144</v>
      </c>
      <c r="C25">
        <v>39</v>
      </c>
      <c r="D25">
        <v>44</v>
      </c>
      <c r="E25">
        <f>AVERAGE(C21:C25)</f>
        <v>42.2</v>
      </c>
      <c r="F25">
        <f>AVERAGE(D21:D25)</f>
        <v>44.2</v>
      </c>
      <c r="G25">
        <f>F25-E25</f>
        <v>2</v>
      </c>
      <c r="H25" s="1">
        <v>38222</v>
      </c>
    </row>
    <row r="26" spans="1:8" ht="12.75">
      <c r="A26" s="1">
        <v>38226</v>
      </c>
      <c r="B26" t="s">
        <v>110</v>
      </c>
      <c r="C26">
        <v>40</v>
      </c>
      <c r="D26">
        <v>43</v>
      </c>
      <c r="E26">
        <f>AVERAGE(C22:C26)</f>
        <v>41.4</v>
      </c>
      <c r="F26">
        <f>AVERAGE(D22:D26)</f>
        <v>44.6</v>
      </c>
      <c r="G26">
        <f>F26-E26</f>
        <v>3.200000000000003</v>
      </c>
      <c r="H26" s="1">
        <v>38222</v>
      </c>
    </row>
    <row r="27" spans="1:8" ht="12.75">
      <c r="A27" s="1">
        <v>38226</v>
      </c>
      <c r="B27" t="s">
        <v>109</v>
      </c>
      <c r="C27">
        <v>43</v>
      </c>
      <c r="D27">
        <v>42</v>
      </c>
      <c r="E27">
        <f>AVERAGE(C23:C27)</f>
        <v>41.4</v>
      </c>
      <c r="F27">
        <f>AVERAGE(D23:D27)</f>
        <v>43.8</v>
      </c>
      <c r="G27">
        <f>F27-E27</f>
        <v>2.3999999999999986</v>
      </c>
      <c r="H27" s="1">
        <v>38224</v>
      </c>
    </row>
    <row r="28" spans="1:8" ht="12.75">
      <c r="A28" s="1">
        <v>38238</v>
      </c>
      <c r="B28" t="s">
        <v>213</v>
      </c>
      <c r="C28">
        <v>47</v>
      </c>
      <c r="D28">
        <v>45</v>
      </c>
      <c r="E28">
        <f>AVERAGE(C24:C28)</f>
        <v>43.2</v>
      </c>
      <c r="F28">
        <f>AVERAGE(D24:D28)</f>
        <v>44</v>
      </c>
      <c r="G28">
        <f>F28-E28</f>
        <v>0.7999999999999972</v>
      </c>
      <c r="H28" s="1">
        <v>38232</v>
      </c>
    </row>
    <row r="29" spans="1:8" ht="12.75">
      <c r="A29" s="1">
        <v>38238</v>
      </c>
      <c r="B29" t="s">
        <v>214</v>
      </c>
      <c r="C29">
        <v>46</v>
      </c>
      <c r="D29">
        <v>49</v>
      </c>
      <c r="E29">
        <f>AVERAGE(C25:C29)</f>
        <v>43</v>
      </c>
      <c r="F29">
        <f>AVERAGE(D25:D29)</f>
        <v>44.6</v>
      </c>
      <c r="G29">
        <f>F29-E29</f>
        <v>1.6000000000000014</v>
      </c>
      <c r="H29" s="1">
        <v>38236</v>
      </c>
    </row>
    <row r="30" spans="1:8" ht="12.75">
      <c r="A30" s="1">
        <v>38241</v>
      </c>
      <c r="B30" t="s">
        <v>93</v>
      </c>
      <c r="C30">
        <v>46</v>
      </c>
      <c r="D30">
        <v>47</v>
      </c>
      <c r="E30">
        <f>AVERAGE(C26:C30)</f>
        <v>44.4</v>
      </c>
      <c r="F30">
        <f>AVERAGE(D26:D30)</f>
        <v>45.2</v>
      </c>
      <c r="G30">
        <f>F30-E30</f>
        <v>0.8000000000000043</v>
      </c>
      <c r="H30" s="1">
        <v>38238</v>
      </c>
    </row>
    <row r="31" spans="1:8" ht="12.75">
      <c r="A31" s="1">
        <v>38241</v>
      </c>
      <c r="B31" t="s">
        <v>289</v>
      </c>
      <c r="C31">
        <v>46</v>
      </c>
      <c r="D31">
        <v>49</v>
      </c>
      <c r="E31">
        <f>AVERAGE(C27:C31)</f>
        <v>45.6</v>
      </c>
      <c r="F31">
        <f>AVERAGE(D27:D31)</f>
        <v>46.4</v>
      </c>
      <c r="G31">
        <f>F31-E31</f>
        <v>0.7999999999999972</v>
      </c>
      <c r="H31" s="1">
        <v>38239</v>
      </c>
    </row>
    <row r="32" spans="1:8" ht="12.75">
      <c r="A32" s="1">
        <v>38243</v>
      </c>
      <c r="B32" t="s">
        <v>41</v>
      </c>
      <c r="C32">
        <v>47.5</v>
      </c>
      <c r="D32">
        <v>45.5</v>
      </c>
      <c r="E32">
        <f>AVERAGE(C28:C32)</f>
        <v>46.5</v>
      </c>
      <c r="F32">
        <f>AVERAGE(D28:D32)</f>
        <v>47.1</v>
      </c>
      <c r="G32">
        <f>F32-E32</f>
        <v>0.6000000000000014</v>
      </c>
      <c r="H32" s="1">
        <v>38241</v>
      </c>
    </row>
    <row r="33" spans="1:8" ht="12.75">
      <c r="A33" s="1">
        <v>38247</v>
      </c>
      <c r="B33" t="s">
        <v>59</v>
      </c>
      <c r="C33">
        <v>46</v>
      </c>
      <c r="D33">
        <v>44</v>
      </c>
      <c r="E33">
        <f>AVERAGE(C29:C33)</f>
        <v>46.3</v>
      </c>
      <c r="F33">
        <f>AVERAGE(D29:D33)</f>
        <v>46.9</v>
      </c>
      <c r="G33">
        <f>F33-E33</f>
        <v>0.6000000000000014</v>
      </c>
      <c r="H33" s="1">
        <v>38242</v>
      </c>
    </row>
    <row r="34" spans="1:8" ht="12.75">
      <c r="A34" s="1">
        <v>38245</v>
      </c>
      <c r="B34" t="s">
        <v>169</v>
      </c>
      <c r="C34">
        <v>48</v>
      </c>
      <c r="D34">
        <v>46</v>
      </c>
      <c r="E34">
        <f>AVERAGE(C30:C34)</f>
        <v>46.7</v>
      </c>
      <c r="F34">
        <f>AVERAGE(D30:D34)</f>
        <v>46.3</v>
      </c>
      <c r="G34">
        <f>F34-E34</f>
        <v>-0.4000000000000057</v>
      </c>
      <c r="H34" s="1">
        <v>38243</v>
      </c>
    </row>
    <row r="35" spans="1:8" ht="12.75">
      <c r="A35" s="1">
        <v>38248</v>
      </c>
      <c r="B35" t="s">
        <v>22</v>
      </c>
      <c r="C35">
        <v>44</v>
      </c>
      <c r="D35">
        <v>45</v>
      </c>
      <c r="E35">
        <f>AVERAGE(C31:C35)</f>
        <v>46.3</v>
      </c>
      <c r="F35">
        <f>AVERAGE(D31:D35)</f>
        <v>45.9</v>
      </c>
      <c r="G35">
        <f>F35-E35</f>
        <v>-0.3999999999999986</v>
      </c>
      <c r="H35" s="1">
        <v>38244</v>
      </c>
    </row>
    <row r="36" spans="1:8" ht="12.75">
      <c r="A36" s="1">
        <v>38248</v>
      </c>
      <c r="B36" t="s">
        <v>25</v>
      </c>
      <c r="C36">
        <v>41</v>
      </c>
      <c r="D36">
        <v>51</v>
      </c>
      <c r="E36">
        <f>AVERAGE(C32:C36)</f>
        <v>45.3</v>
      </c>
      <c r="F36">
        <f>AVERAGE(D32:D36)</f>
        <v>46.3</v>
      </c>
      <c r="G36">
        <f>F36-E36</f>
        <v>1</v>
      </c>
      <c r="H36" s="1">
        <v>38246</v>
      </c>
    </row>
    <row r="37" spans="1:8" ht="12.75">
      <c r="A37" s="1">
        <v>38252</v>
      </c>
      <c r="B37" t="s">
        <v>280</v>
      </c>
      <c r="C37">
        <v>45</v>
      </c>
      <c r="D37">
        <v>49</v>
      </c>
      <c r="E37">
        <f>AVERAGE(C33:C37)</f>
        <v>44.8</v>
      </c>
      <c r="F37">
        <f>AVERAGE(D33:D37)</f>
        <v>47</v>
      </c>
      <c r="G37">
        <f>F37-E37</f>
        <v>2.200000000000003</v>
      </c>
      <c r="H37" s="1">
        <v>38250</v>
      </c>
    </row>
    <row r="38" spans="1:8" ht="12.75">
      <c r="A38" s="1">
        <v>38253</v>
      </c>
      <c r="B38" t="s">
        <v>93</v>
      </c>
      <c r="C38">
        <v>44</v>
      </c>
      <c r="D38">
        <v>51</v>
      </c>
      <c r="E38">
        <f>AVERAGE(C34:C38)</f>
        <v>44.4</v>
      </c>
      <c r="F38">
        <f>AVERAGE(D34:D38)</f>
        <v>48.4</v>
      </c>
      <c r="G38">
        <f>F38-E38</f>
        <v>4</v>
      </c>
      <c r="H38" s="1">
        <v>38250</v>
      </c>
    </row>
    <row r="39" spans="1:8" ht="12.75">
      <c r="A39" s="1">
        <v>38254</v>
      </c>
      <c r="B39" t="s">
        <v>169</v>
      </c>
      <c r="C39">
        <v>47</v>
      </c>
      <c r="D39">
        <v>50</v>
      </c>
      <c r="E39">
        <f>AVERAGE(C35:C39)</f>
        <v>44.2</v>
      </c>
      <c r="F39">
        <f>AVERAGE(D35:D39)</f>
        <v>49.2</v>
      </c>
      <c r="G39">
        <f>F39-E39</f>
        <v>5</v>
      </c>
      <c r="H39" s="1">
        <v>38252</v>
      </c>
    </row>
    <row r="40" spans="1:8" ht="12.75">
      <c r="A40" s="1">
        <v>38254</v>
      </c>
      <c r="B40" t="s">
        <v>25</v>
      </c>
      <c r="C40">
        <v>41</v>
      </c>
      <c r="D40">
        <v>50</v>
      </c>
      <c r="E40">
        <f>AVERAGE(C36:C40)</f>
        <v>43.6</v>
      </c>
      <c r="F40">
        <f>AVERAGE(D36:D40)</f>
        <v>50.2</v>
      </c>
      <c r="G40">
        <f>F40-E40</f>
        <v>6.600000000000001</v>
      </c>
      <c r="H40" s="1">
        <v>38252</v>
      </c>
    </row>
    <row r="41" spans="1:8" ht="12.75">
      <c r="A41" s="1">
        <v>38254</v>
      </c>
      <c r="B41" t="s">
        <v>109</v>
      </c>
      <c r="C41">
        <v>45</v>
      </c>
      <c r="D41">
        <v>49</v>
      </c>
      <c r="E41">
        <f>AVERAGE(C37:C41)</f>
        <v>44.4</v>
      </c>
      <c r="F41">
        <f>AVERAGE(D37:D41)</f>
        <v>49.8</v>
      </c>
      <c r="G41">
        <f>F41-E41</f>
        <v>5.399999999999999</v>
      </c>
      <c r="H41" s="1">
        <v>38252</v>
      </c>
    </row>
    <row r="42" spans="1:8" ht="12.75">
      <c r="A42" s="1">
        <v>38261</v>
      </c>
      <c r="B42" t="s">
        <v>263</v>
      </c>
      <c r="C42">
        <v>43</v>
      </c>
      <c r="D42">
        <v>44</v>
      </c>
      <c r="E42">
        <f>AVERAGE(C38:C42)</f>
        <v>44</v>
      </c>
      <c r="F42">
        <f>AVERAGE(D38:D42)</f>
        <v>48.8</v>
      </c>
      <c r="G42">
        <f>F42-E42</f>
        <v>4.799999999999997</v>
      </c>
      <c r="H42" s="1">
        <v>38252</v>
      </c>
    </row>
    <row r="43" spans="1:8" ht="12.75">
      <c r="A43" s="1">
        <v>38256</v>
      </c>
      <c r="B43" t="s">
        <v>59</v>
      </c>
      <c r="C43">
        <v>48</v>
      </c>
      <c r="D43">
        <v>45</v>
      </c>
      <c r="E43">
        <f>AVERAGE(C39:C43)</f>
        <v>44.8</v>
      </c>
      <c r="F43">
        <f>AVERAGE(D39:D43)</f>
        <v>47.6</v>
      </c>
      <c r="G43">
        <f>F43-E43</f>
        <v>2.8000000000000043</v>
      </c>
      <c r="H43" s="1">
        <v>38254</v>
      </c>
    </row>
    <row r="44" spans="1:8" ht="12.75">
      <c r="A44" s="1">
        <v>38259</v>
      </c>
      <c r="B44" t="s">
        <v>214</v>
      </c>
      <c r="C44">
        <v>48</v>
      </c>
      <c r="D44">
        <v>49</v>
      </c>
      <c r="E44">
        <f>AVERAGE(C40:C44)</f>
        <v>45</v>
      </c>
      <c r="F44">
        <f>AVERAGE(D40:D44)</f>
        <v>47.4</v>
      </c>
      <c r="G44">
        <f>F44-E44</f>
        <v>2.3999999999999986</v>
      </c>
      <c r="H44" s="1">
        <v>38257</v>
      </c>
    </row>
    <row r="45" spans="1:8" ht="12.75">
      <c r="A45" s="1">
        <v>38264</v>
      </c>
      <c r="B45" t="s">
        <v>301</v>
      </c>
      <c r="C45">
        <v>44</v>
      </c>
      <c r="D45">
        <v>44</v>
      </c>
      <c r="E45">
        <f>AVERAGE(C41:C45)</f>
        <v>45.6</v>
      </c>
      <c r="F45">
        <f>AVERAGE(D41:D45)</f>
        <v>46.2</v>
      </c>
      <c r="G45">
        <f>F45-E45</f>
        <v>0.6000000000000014</v>
      </c>
      <c r="H45" s="1">
        <v>38260</v>
      </c>
    </row>
    <row r="46" spans="1:8" ht="12.75">
      <c r="A46" s="1">
        <v>38266</v>
      </c>
      <c r="B46" t="s">
        <v>214</v>
      </c>
      <c r="C46">
        <v>45</v>
      </c>
      <c r="D46">
        <v>51</v>
      </c>
      <c r="E46">
        <f>AVERAGE(C42:C46)</f>
        <v>45.6</v>
      </c>
      <c r="F46">
        <f>AVERAGE(D42:D46)</f>
        <v>46.6</v>
      </c>
      <c r="G46">
        <f>F46-E46</f>
        <v>1</v>
      </c>
      <c r="H46" s="1">
        <v>38264</v>
      </c>
    </row>
    <row r="47" spans="1:8" ht="12.75">
      <c r="A47" s="1">
        <v>38267</v>
      </c>
      <c r="B47" t="s">
        <v>289</v>
      </c>
      <c r="C47">
        <v>45</v>
      </c>
      <c r="D47">
        <v>51</v>
      </c>
      <c r="E47">
        <f>AVERAGE(C43:C47)</f>
        <v>46</v>
      </c>
      <c r="F47">
        <f>AVERAGE(D43:D47)</f>
        <v>48</v>
      </c>
      <c r="G47">
        <f>F47-E47</f>
        <v>2</v>
      </c>
      <c r="H47" s="1">
        <v>38265</v>
      </c>
    </row>
    <row r="48" spans="1:8" ht="12.75">
      <c r="A48" s="1">
        <v>38273</v>
      </c>
      <c r="B48" t="s">
        <v>280</v>
      </c>
      <c r="C48">
        <v>43</v>
      </c>
      <c r="D48">
        <v>52</v>
      </c>
      <c r="E48">
        <f>AVERAGE(C44:C48)</f>
        <v>45</v>
      </c>
      <c r="F48">
        <f>AVERAGE(D44:D48)</f>
        <v>49.4</v>
      </c>
      <c r="G48">
        <f>F48-E48</f>
        <v>4.399999999999999</v>
      </c>
      <c r="H48" s="1">
        <v>38266</v>
      </c>
    </row>
    <row r="49" spans="1:8" ht="12.75">
      <c r="A49" s="1">
        <v>38271</v>
      </c>
      <c r="B49" t="s">
        <v>93</v>
      </c>
      <c r="C49">
        <v>42</v>
      </c>
      <c r="D49">
        <v>52</v>
      </c>
      <c r="E49">
        <f>AVERAGE(C45:C49)</f>
        <v>43.8</v>
      </c>
      <c r="F49">
        <f>AVERAGE(D45:D49)</f>
        <v>50</v>
      </c>
      <c r="G49">
        <f>F49-E49</f>
        <v>6.200000000000003</v>
      </c>
      <c r="H49" s="1">
        <v>38269</v>
      </c>
    </row>
    <row r="50" spans="1:8" ht="12.75">
      <c r="A50" s="1">
        <v>38273</v>
      </c>
      <c r="B50" t="s">
        <v>280</v>
      </c>
      <c r="C50">
        <v>43</v>
      </c>
      <c r="D50">
        <v>52</v>
      </c>
      <c r="E50">
        <f>AVERAGE(C46:C50)</f>
        <v>43.6</v>
      </c>
      <c r="F50">
        <f>AVERAGE(D46:D50)</f>
        <v>51.6</v>
      </c>
      <c r="G50">
        <f>F50-E50</f>
        <v>8</v>
      </c>
      <c r="H50" s="1">
        <v>38271</v>
      </c>
    </row>
    <row r="51" spans="1:8" ht="12.75">
      <c r="A51" s="1">
        <v>38274</v>
      </c>
      <c r="B51" t="s">
        <v>144</v>
      </c>
      <c r="C51">
        <v>43</v>
      </c>
      <c r="D51">
        <v>47</v>
      </c>
      <c r="E51">
        <f>AVERAGE(C47:C51)</f>
        <v>43.2</v>
      </c>
      <c r="F51">
        <f>AVERAGE(D47:D51)</f>
        <v>50.8</v>
      </c>
      <c r="G51">
        <f>F51-E51</f>
        <v>7.599999999999994</v>
      </c>
      <c r="H51" s="1">
        <v>38272</v>
      </c>
    </row>
    <row r="52" spans="1:8" ht="12.75">
      <c r="A52" s="1">
        <v>38276</v>
      </c>
      <c r="B52" t="s">
        <v>41</v>
      </c>
      <c r="C52">
        <v>46.5</v>
      </c>
      <c r="D52">
        <v>47.5</v>
      </c>
      <c r="E52">
        <f>AVERAGE(C48:C52)</f>
        <v>43.5</v>
      </c>
      <c r="F52">
        <f>AVERAGE(D48:D52)</f>
        <v>50.1</v>
      </c>
      <c r="G52">
        <f>F52-E52</f>
        <v>6.600000000000001</v>
      </c>
      <c r="H52" s="1">
        <v>38272</v>
      </c>
    </row>
    <row r="53" spans="1:8" ht="12.75">
      <c r="A53" s="1">
        <v>38275</v>
      </c>
      <c r="B53" t="s">
        <v>109</v>
      </c>
      <c r="C53">
        <v>47</v>
      </c>
      <c r="D53">
        <v>51</v>
      </c>
      <c r="E53">
        <f>AVERAGE(C49:C53)</f>
        <v>44.3</v>
      </c>
      <c r="F53">
        <f>AVERAGE(D49:D53)</f>
        <v>49.9</v>
      </c>
      <c r="G53">
        <f>F53-E53</f>
        <v>5.600000000000001</v>
      </c>
      <c r="H53" s="1">
        <v>38273</v>
      </c>
    </row>
    <row r="54" spans="1:11" ht="12.75">
      <c r="A54" s="1">
        <v>38277</v>
      </c>
      <c r="B54" t="s">
        <v>169</v>
      </c>
      <c r="C54">
        <v>45</v>
      </c>
      <c r="D54">
        <v>52</v>
      </c>
      <c r="E54">
        <f>AVERAGE(C50:C54)</f>
        <v>44.9</v>
      </c>
      <c r="F54">
        <f>AVERAGE(D50:D54)</f>
        <v>49.9</v>
      </c>
      <c r="G54">
        <f>F54-E54</f>
        <v>5</v>
      </c>
      <c r="H54" s="1">
        <v>38275</v>
      </c>
      <c r="I54">
        <f>AVERAGE(C49:C54)</f>
        <v>44.416666666666664</v>
      </c>
      <c r="J54">
        <f>AVERAGE(D49:D54)</f>
        <v>50.25</v>
      </c>
      <c r="K54">
        <f>J54-I54</f>
        <v>5.833333333333336</v>
      </c>
    </row>
    <row r="55" spans="1:8" ht="12.75">
      <c r="A55" s="1">
        <v>38280</v>
      </c>
      <c r="B55" t="s">
        <v>214</v>
      </c>
      <c r="C55">
        <v>46</v>
      </c>
      <c r="D55">
        <v>51</v>
      </c>
      <c r="E55">
        <f>AVERAGE(C51:C55)</f>
        <v>45.5</v>
      </c>
      <c r="F55">
        <f>AVERAGE(D51:D55)</f>
        <v>49.7</v>
      </c>
      <c r="G55">
        <f>F55-E55</f>
        <v>4.200000000000003</v>
      </c>
      <c r="H55" s="1">
        <v>38278</v>
      </c>
    </row>
    <row r="56" spans="1:8" ht="12.75">
      <c r="A56" s="1">
        <v>38281</v>
      </c>
      <c r="B56" t="s">
        <v>292</v>
      </c>
      <c r="C56">
        <v>46</v>
      </c>
      <c r="D56">
        <v>51</v>
      </c>
      <c r="E56">
        <f>AVERAGE(C52:C56)</f>
        <v>46.1</v>
      </c>
      <c r="F56">
        <f>AVERAGE(D52:D56)</f>
        <v>50.5</v>
      </c>
      <c r="G56">
        <f>F56-E56</f>
        <v>4.399999999999999</v>
      </c>
      <c r="H56" s="1">
        <v>38278</v>
      </c>
    </row>
    <row r="57" spans="1:8" ht="12.75">
      <c r="A57" s="1">
        <v>38281</v>
      </c>
      <c r="B57" t="s">
        <v>41</v>
      </c>
      <c r="C57">
        <v>48</v>
      </c>
      <c r="D57">
        <v>48</v>
      </c>
      <c r="E57">
        <f>AVERAGE(C53:C57)</f>
        <v>46.4</v>
      </c>
      <c r="F57">
        <f>AVERAGE(D53:D57)</f>
        <v>50.6</v>
      </c>
      <c r="G57">
        <f>F57-E57</f>
        <v>4.200000000000003</v>
      </c>
      <c r="H57" s="1">
        <v>38279</v>
      </c>
    </row>
    <row r="58" spans="1:8" ht="12.75">
      <c r="A58" s="1">
        <v>38283</v>
      </c>
      <c r="B58" t="s">
        <v>289</v>
      </c>
      <c r="C58">
        <v>46</v>
      </c>
      <c r="D58">
        <v>51</v>
      </c>
      <c r="E58">
        <f>AVERAGE(C54:C58)</f>
        <v>46.2</v>
      </c>
      <c r="F58">
        <f>AVERAGE(D54:D58)</f>
        <v>50.6</v>
      </c>
      <c r="G58">
        <f>F58-E58</f>
        <v>4.399999999999999</v>
      </c>
      <c r="H58" s="1">
        <v>38279</v>
      </c>
    </row>
    <row r="59" spans="1:8" ht="12.75">
      <c r="A59" s="1">
        <v>38285</v>
      </c>
      <c r="B59" t="s">
        <v>310</v>
      </c>
      <c r="C59">
        <v>40</v>
      </c>
      <c r="D59">
        <v>52</v>
      </c>
      <c r="E59">
        <f>AVERAGE(C55:C59)</f>
        <v>45.2</v>
      </c>
      <c r="F59">
        <f>AVERAGE(D55:D59)</f>
        <v>50.6</v>
      </c>
      <c r="G59">
        <f>F59-E59</f>
        <v>5.399999999999999</v>
      </c>
      <c r="H59" s="1">
        <v>38282</v>
      </c>
    </row>
    <row r="60" spans="1:8" ht="12.75">
      <c r="A60" s="1">
        <v>38287</v>
      </c>
      <c r="B60" t="s">
        <v>169</v>
      </c>
      <c r="C60">
        <v>46</v>
      </c>
      <c r="D60">
        <v>50</v>
      </c>
      <c r="E60">
        <f>AVERAGE(C56:C60)</f>
        <v>45.2</v>
      </c>
      <c r="F60">
        <f>AVERAGE(D56:D60)</f>
        <v>50.4</v>
      </c>
      <c r="G60">
        <f>F60-E60</f>
        <v>5.199999999999996</v>
      </c>
      <c r="H60" s="1">
        <v>38285</v>
      </c>
    </row>
    <row r="61" spans="1:8" ht="12.75">
      <c r="A61" s="1">
        <v>38288</v>
      </c>
      <c r="B61" t="s">
        <v>4</v>
      </c>
      <c r="C61">
        <v>41</v>
      </c>
      <c r="D61">
        <v>50</v>
      </c>
      <c r="E61">
        <f>AVERAGE(C57:C61)</f>
        <v>44.2</v>
      </c>
      <c r="F61">
        <f>AVERAGE(D57:D61)</f>
        <v>50.2</v>
      </c>
      <c r="G61">
        <f>F61-E61</f>
        <v>6</v>
      </c>
      <c r="H61" s="1">
        <v>38285</v>
      </c>
    </row>
    <row r="62" spans="1:8" ht="12.75">
      <c r="A62" s="1">
        <v>38288</v>
      </c>
      <c r="B62" t="s">
        <v>289</v>
      </c>
      <c r="C62">
        <v>45</v>
      </c>
      <c r="D62">
        <v>53</v>
      </c>
      <c r="E62">
        <f>AVERAGE(C58:C62)</f>
        <v>43.6</v>
      </c>
      <c r="F62">
        <f>AVERAGE(D58:D62)</f>
        <v>51.2</v>
      </c>
      <c r="G62">
        <f>F62-E62</f>
        <v>7.600000000000001</v>
      </c>
      <c r="H62" s="1">
        <v>38285</v>
      </c>
    </row>
    <row r="63" spans="1:8" ht="12.75">
      <c r="A63" s="1">
        <v>38290</v>
      </c>
      <c r="B63" t="s">
        <v>22</v>
      </c>
      <c r="C63">
        <v>44</v>
      </c>
      <c r="D63">
        <v>48</v>
      </c>
      <c r="E63">
        <f>AVERAGE(C59:C63)</f>
        <v>43.2</v>
      </c>
      <c r="F63">
        <f>AVERAGE(D59:D63)</f>
        <v>50.6</v>
      </c>
      <c r="G63">
        <f>F63-E63</f>
        <v>7.399999999999999</v>
      </c>
      <c r="H63" s="1">
        <v>38286</v>
      </c>
    </row>
    <row r="64" spans="1:8" ht="12.75">
      <c r="A64" s="1">
        <v>38289</v>
      </c>
      <c r="B64" t="s">
        <v>109</v>
      </c>
      <c r="C64">
        <v>45</v>
      </c>
      <c r="D64">
        <v>53</v>
      </c>
      <c r="E64">
        <f>AVERAGE(C60:C64)</f>
        <v>44.2</v>
      </c>
      <c r="F64">
        <f>AVERAGE(D60:D64)</f>
        <v>50.8</v>
      </c>
      <c r="G64">
        <f>F64-E64</f>
        <v>6.599999999999994</v>
      </c>
      <c r="H64" s="1">
        <v>38287</v>
      </c>
    </row>
    <row r="65" spans="1:8" ht="12.75">
      <c r="A65" s="1">
        <v>38290</v>
      </c>
      <c r="B65" t="s">
        <v>57</v>
      </c>
      <c r="C65">
        <v>45</v>
      </c>
      <c r="D65">
        <v>51</v>
      </c>
      <c r="E65">
        <f>AVERAGE(C61:C65)</f>
        <v>44</v>
      </c>
      <c r="F65">
        <f>AVERAGE(D61:D65)</f>
        <v>51</v>
      </c>
      <c r="G65">
        <f>F65-E65</f>
        <v>7</v>
      </c>
      <c r="H65" s="1">
        <v>38287</v>
      </c>
    </row>
    <row r="66" spans="1:8" ht="12.75">
      <c r="A66" s="1">
        <v>38292</v>
      </c>
      <c r="B66" t="s">
        <v>303</v>
      </c>
      <c r="C66">
        <v>44</v>
      </c>
      <c r="D66">
        <v>49</v>
      </c>
      <c r="E66">
        <f>AVERAGE(C62:C66)</f>
        <v>44.6</v>
      </c>
      <c r="F66">
        <f>AVERAGE(D62:D66)</f>
        <v>50.8</v>
      </c>
      <c r="G66">
        <f>F66-E66</f>
        <v>6.199999999999996</v>
      </c>
      <c r="H66" s="1">
        <v>38288</v>
      </c>
    </row>
    <row r="67" spans="1:8" ht="12.75">
      <c r="A67" s="1">
        <v>38291</v>
      </c>
      <c r="B67" t="s">
        <v>93</v>
      </c>
      <c r="C67">
        <v>44</v>
      </c>
      <c r="D67">
        <v>54</v>
      </c>
      <c r="E67">
        <f>AVERAGE(C63:C67)</f>
        <v>44.4</v>
      </c>
      <c r="F67">
        <f>AVERAGE(D63:D67)</f>
        <v>51</v>
      </c>
      <c r="G67">
        <f>F67-E67</f>
        <v>6.600000000000001</v>
      </c>
      <c r="H67" s="1">
        <v>38289</v>
      </c>
    </row>
    <row r="68" spans="1:8" ht="12.75">
      <c r="A68" s="1">
        <v>38291</v>
      </c>
      <c r="B68" t="s">
        <v>59</v>
      </c>
      <c r="C68">
        <v>45</v>
      </c>
      <c r="D68">
        <v>52</v>
      </c>
      <c r="E68">
        <f>AVERAGE(C64:C68)</f>
        <v>44.6</v>
      </c>
      <c r="F68">
        <f>AVERAGE(D64:D68)</f>
        <v>51.8</v>
      </c>
      <c r="G68">
        <f>F68-E68</f>
        <v>7.199999999999996</v>
      </c>
      <c r="H68" s="1">
        <v>38289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C15" sqref="C15"/>
    </sheetView>
  </sheetViews>
  <sheetFormatPr defaultColWidth="11.00390625" defaultRowHeight="12.75"/>
  <sheetData>
    <row r="3" spans="3:7" ht="12.75">
      <c r="C3" s="3" t="s">
        <v>28</v>
      </c>
      <c r="D3" s="3"/>
      <c r="E3" s="3"/>
      <c r="F3" s="3"/>
      <c r="G3" s="3"/>
    </row>
    <row r="4" spans="1:7" ht="12.75">
      <c r="A4" t="s">
        <v>104</v>
      </c>
      <c r="B4" t="s">
        <v>125</v>
      </c>
      <c r="C4" t="s">
        <v>113</v>
      </c>
      <c r="D4" t="s">
        <v>114</v>
      </c>
      <c r="E4" t="s">
        <v>115</v>
      </c>
      <c r="F4" t="s">
        <v>116</v>
      </c>
      <c r="G4" t="s">
        <v>123</v>
      </c>
    </row>
    <row r="5" spans="1:8" ht="12.75">
      <c r="A5" s="1">
        <v>38051</v>
      </c>
      <c r="B5" t="s">
        <v>126</v>
      </c>
      <c r="C5">
        <v>34</v>
      </c>
      <c r="D5">
        <v>55</v>
      </c>
      <c r="E5">
        <f aca="true" t="shared" si="0" ref="E5:E19">AVERAGE(C1:C5)</f>
        <v>34</v>
      </c>
      <c r="F5">
        <f aca="true" t="shared" si="1" ref="F5:F19">AVERAGE(D1:D5)</f>
        <v>55</v>
      </c>
      <c r="G5">
        <f aca="true" t="shared" si="2" ref="G5:G19">F5-E5</f>
        <v>21</v>
      </c>
      <c r="H5" s="1">
        <v>38044</v>
      </c>
    </row>
    <row r="6" spans="1:8" ht="12.75">
      <c r="A6" s="1">
        <v>38116</v>
      </c>
      <c r="B6" t="s">
        <v>169</v>
      </c>
      <c r="C6">
        <v>38</v>
      </c>
      <c r="D6">
        <v>50</v>
      </c>
      <c r="E6">
        <f t="shared" si="0"/>
        <v>36</v>
      </c>
      <c r="F6">
        <f t="shared" si="1"/>
        <v>52.5</v>
      </c>
      <c r="G6">
        <f t="shared" si="2"/>
        <v>16.5</v>
      </c>
      <c r="H6" s="1">
        <v>38056</v>
      </c>
    </row>
    <row r="7" spans="1:8" ht="12.75">
      <c r="A7" s="1">
        <v>38116</v>
      </c>
      <c r="B7" t="s">
        <v>280</v>
      </c>
      <c r="C7">
        <v>35</v>
      </c>
      <c r="D7">
        <v>52</v>
      </c>
      <c r="E7">
        <f t="shared" si="0"/>
        <v>35.666666666666664</v>
      </c>
      <c r="F7">
        <f t="shared" si="1"/>
        <v>52.333333333333336</v>
      </c>
      <c r="G7">
        <f t="shared" si="2"/>
        <v>16.66666666666667</v>
      </c>
      <c r="H7" s="1">
        <v>38069</v>
      </c>
    </row>
    <row r="8" spans="1:8" ht="12.75">
      <c r="A8" s="1">
        <v>38139</v>
      </c>
      <c r="B8" t="s">
        <v>169</v>
      </c>
      <c r="C8">
        <v>44</v>
      </c>
      <c r="D8">
        <v>47</v>
      </c>
      <c r="E8">
        <f t="shared" si="0"/>
        <v>37.75</v>
      </c>
      <c r="F8">
        <f t="shared" si="1"/>
        <v>51</v>
      </c>
      <c r="G8">
        <f t="shared" si="2"/>
        <v>13.25</v>
      </c>
      <c r="H8" s="1">
        <v>38135</v>
      </c>
    </row>
    <row r="9" spans="1:8" ht="12.75">
      <c r="A9" s="1">
        <v>38170</v>
      </c>
      <c r="B9" t="s">
        <v>280</v>
      </c>
      <c r="C9">
        <v>35</v>
      </c>
      <c r="D9">
        <v>56</v>
      </c>
      <c r="E9">
        <f t="shared" si="0"/>
        <v>37.2</v>
      </c>
      <c r="F9">
        <f t="shared" si="1"/>
        <v>52</v>
      </c>
      <c r="G9">
        <f t="shared" si="2"/>
        <v>14.799999999999997</v>
      </c>
      <c r="H9" s="1">
        <v>38166</v>
      </c>
    </row>
    <row r="10" spans="1:8" ht="12.75">
      <c r="A10" s="1">
        <v>38170</v>
      </c>
      <c r="B10" t="s">
        <v>169</v>
      </c>
      <c r="C10">
        <v>35</v>
      </c>
      <c r="D10">
        <v>52</v>
      </c>
      <c r="E10">
        <f t="shared" si="0"/>
        <v>37.4</v>
      </c>
      <c r="F10">
        <f t="shared" si="1"/>
        <v>51.4</v>
      </c>
      <c r="G10">
        <f t="shared" si="2"/>
        <v>14</v>
      </c>
      <c r="H10" s="1">
        <v>38167</v>
      </c>
    </row>
    <row r="11" spans="1:8" ht="12.75">
      <c r="A11" s="1">
        <v>38176</v>
      </c>
      <c r="B11" t="s">
        <v>239</v>
      </c>
      <c r="C11">
        <v>32</v>
      </c>
      <c r="D11">
        <v>48</v>
      </c>
      <c r="E11">
        <f t="shared" si="0"/>
        <v>36.2</v>
      </c>
      <c r="F11">
        <f t="shared" si="1"/>
        <v>51</v>
      </c>
      <c r="G11">
        <f t="shared" si="2"/>
        <v>14.799999999999997</v>
      </c>
      <c r="H11" s="1">
        <v>38167</v>
      </c>
    </row>
    <row r="12" spans="1:8" ht="12.75">
      <c r="A12" s="1">
        <v>38171</v>
      </c>
      <c r="B12" t="s">
        <v>81</v>
      </c>
      <c r="C12">
        <v>35</v>
      </c>
      <c r="D12">
        <v>57</v>
      </c>
      <c r="E12">
        <f t="shared" si="0"/>
        <v>36.2</v>
      </c>
      <c r="F12">
        <f t="shared" si="1"/>
        <v>52</v>
      </c>
      <c r="G12">
        <f t="shared" si="2"/>
        <v>15.799999999999997</v>
      </c>
      <c r="H12" s="1">
        <v>38170</v>
      </c>
    </row>
    <row r="13" spans="1:8" ht="12.75">
      <c r="A13" s="1">
        <v>38203</v>
      </c>
      <c r="B13" t="s">
        <v>169</v>
      </c>
      <c r="C13">
        <v>40</v>
      </c>
      <c r="D13">
        <v>53</v>
      </c>
      <c r="E13">
        <f t="shared" si="0"/>
        <v>35.4</v>
      </c>
      <c r="F13">
        <f t="shared" si="1"/>
        <v>53.2</v>
      </c>
      <c r="G13">
        <f t="shared" si="2"/>
        <v>17.800000000000004</v>
      </c>
      <c r="H13" s="1">
        <v>38198</v>
      </c>
    </row>
    <row r="14" spans="1:8" ht="12.75">
      <c r="A14" s="1">
        <v>38248</v>
      </c>
      <c r="B14" t="s">
        <v>169</v>
      </c>
      <c r="C14">
        <v>41</v>
      </c>
      <c r="D14">
        <v>53</v>
      </c>
      <c r="E14">
        <f t="shared" si="0"/>
        <v>36.6</v>
      </c>
      <c r="F14">
        <f t="shared" si="1"/>
        <v>52.6</v>
      </c>
      <c r="G14">
        <f t="shared" si="2"/>
        <v>16</v>
      </c>
      <c r="H14" s="1">
        <v>38245</v>
      </c>
    </row>
    <row r="15" spans="1:8" ht="12.75">
      <c r="A15" s="1">
        <v>38249</v>
      </c>
      <c r="B15" t="s">
        <v>59</v>
      </c>
      <c r="C15">
        <v>39</v>
      </c>
      <c r="D15">
        <v>54</v>
      </c>
      <c r="E15">
        <f t="shared" si="0"/>
        <v>37.4</v>
      </c>
      <c r="F15">
        <f t="shared" si="1"/>
        <v>53</v>
      </c>
      <c r="G15">
        <f t="shared" si="2"/>
        <v>15.600000000000001</v>
      </c>
      <c r="H15" s="1">
        <v>38248</v>
      </c>
    </row>
    <row r="16" spans="1:8" ht="12.75">
      <c r="A16" s="1">
        <v>38261</v>
      </c>
      <c r="B16" t="s">
        <v>261</v>
      </c>
      <c r="C16">
        <v>35</v>
      </c>
      <c r="D16">
        <v>49</v>
      </c>
      <c r="E16">
        <f t="shared" si="0"/>
        <v>38</v>
      </c>
      <c r="F16">
        <f t="shared" si="1"/>
        <v>53.2</v>
      </c>
      <c r="G16">
        <f t="shared" si="2"/>
        <v>15.200000000000003</v>
      </c>
      <c r="H16" s="1">
        <v>38252</v>
      </c>
    </row>
    <row r="17" spans="1:8" ht="12.75">
      <c r="A17" s="1">
        <v>38256</v>
      </c>
      <c r="B17" t="s">
        <v>126</v>
      </c>
      <c r="C17">
        <v>38</v>
      </c>
      <c r="D17">
        <v>54</v>
      </c>
      <c r="E17">
        <f t="shared" si="0"/>
        <v>38.6</v>
      </c>
      <c r="F17">
        <f t="shared" si="1"/>
        <v>52.6</v>
      </c>
      <c r="G17">
        <f t="shared" si="2"/>
        <v>14</v>
      </c>
      <c r="H17" s="1">
        <v>38254</v>
      </c>
    </row>
    <row r="18" spans="1:8" ht="12.75">
      <c r="A18" s="1">
        <v>38276</v>
      </c>
      <c r="B18" t="s">
        <v>169</v>
      </c>
      <c r="C18">
        <v>39</v>
      </c>
      <c r="D18">
        <v>56</v>
      </c>
      <c r="E18">
        <f t="shared" si="0"/>
        <v>38.4</v>
      </c>
      <c r="F18">
        <f t="shared" si="1"/>
        <v>53.2</v>
      </c>
      <c r="G18">
        <f t="shared" si="2"/>
        <v>14.800000000000004</v>
      </c>
      <c r="H18" s="1">
        <v>38273</v>
      </c>
    </row>
    <row r="19" spans="1:8" ht="12.75">
      <c r="A19" s="1">
        <v>38287</v>
      </c>
      <c r="B19" t="s">
        <v>159</v>
      </c>
      <c r="C19">
        <v>31</v>
      </c>
      <c r="D19">
        <v>56</v>
      </c>
      <c r="E19">
        <f t="shared" si="0"/>
        <v>36.4</v>
      </c>
      <c r="F19">
        <f t="shared" si="1"/>
        <v>53.8</v>
      </c>
      <c r="G19">
        <f t="shared" si="2"/>
        <v>17.4</v>
      </c>
      <c r="H19" s="1">
        <v>38281</v>
      </c>
    </row>
  </sheetData>
  <sheetProtection/>
  <mergeCells count="1">
    <mergeCell ref="C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Minter</dc:creator>
  <cp:keywords/>
  <dc:description/>
  <cp:lastModifiedBy>Samuel Minter</cp:lastModifiedBy>
  <dcterms:created xsi:type="dcterms:W3CDTF">2008-02-24T04:24:07Z</dcterms:created>
  <dcterms:modified xsi:type="dcterms:W3CDTF">2008-03-31T19:04:04Z</dcterms:modified>
  <cp:category/>
  <cp:version/>
  <cp:contentType/>
  <cp:contentStatus/>
</cp:coreProperties>
</file>